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Dettaglio_Domande_Pagabili_AGEA" sheetId="1" r:id="rId1"/>
  </sheets>
  <definedNames>
    <definedName name="_xlnm._FilterDatabase" localSheetId="0" hidden="1">Dettaglio_Domande_Pagabili_AGEA!$A$1:$W$2475</definedName>
  </definedNames>
  <calcPr calcId="125725"/>
</workbook>
</file>

<file path=xl/calcChain.xml><?xml version="1.0" encoding="utf-8"?>
<calcChain xmlns="http://schemas.openxmlformats.org/spreadsheetml/2006/main">
  <c r="M2475" i="1"/>
  <c r="L2475"/>
  <c r="K2475"/>
  <c r="H2475"/>
  <c r="M2474"/>
  <c r="L2474"/>
  <c r="K2474"/>
  <c r="H2474"/>
  <c r="M2473"/>
  <c r="L2473"/>
  <c r="K2473"/>
  <c r="H2473"/>
  <c r="M2472"/>
  <c r="L2472"/>
  <c r="K2472"/>
  <c r="H2472"/>
  <c r="M2471"/>
  <c r="L2471"/>
  <c r="K2471"/>
  <c r="H2471"/>
  <c r="M2470"/>
  <c r="L2470"/>
  <c r="K2470"/>
  <c r="H2470"/>
  <c r="M2469"/>
  <c r="L2469"/>
  <c r="K2469"/>
  <c r="H2469"/>
  <c r="M2468"/>
  <c r="L2468"/>
  <c r="K2468"/>
  <c r="H2468"/>
  <c r="M2467"/>
  <c r="L2467"/>
  <c r="K2467"/>
  <c r="H2467"/>
  <c r="M2466"/>
  <c r="L2466"/>
  <c r="K2466"/>
  <c r="H2466"/>
  <c r="M2465"/>
  <c r="L2465"/>
  <c r="K2465"/>
  <c r="H2465"/>
  <c r="M2464"/>
  <c r="L2464"/>
  <c r="K2464"/>
  <c r="H2464"/>
  <c r="M2463"/>
  <c r="L2463"/>
  <c r="K2463"/>
  <c r="H2463"/>
  <c r="M2462"/>
  <c r="L2462"/>
  <c r="K2462"/>
  <c r="H2462"/>
  <c r="M2461"/>
  <c r="L2461"/>
  <c r="K2461"/>
  <c r="H2461"/>
  <c r="M2460"/>
  <c r="L2460"/>
  <c r="K2460"/>
  <c r="H2460"/>
  <c r="M2459"/>
  <c r="L2459"/>
  <c r="K2459"/>
  <c r="H2459"/>
  <c r="M2458"/>
  <c r="L2458"/>
  <c r="K2458"/>
  <c r="H2458"/>
  <c r="M2457"/>
  <c r="L2457"/>
  <c r="K2457"/>
  <c r="H2457"/>
  <c r="M2456"/>
  <c r="L2456"/>
  <c r="K2456"/>
  <c r="H2456"/>
  <c r="M2455"/>
  <c r="L2455"/>
  <c r="K2455"/>
  <c r="H2455"/>
  <c r="M2454"/>
  <c r="L2454"/>
  <c r="K2454"/>
  <c r="H2454"/>
  <c r="M2453"/>
  <c r="L2453"/>
  <c r="K2453"/>
  <c r="H2453"/>
  <c r="M2452"/>
  <c r="L2452"/>
  <c r="K2452"/>
  <c r="H2452"/>
  <c r="M2451"/>
  <c r="L2451"/>
  <c r="K2451"/>
  <c r="H2451"/>
  <c r="M2450"/>
  <c r="L2450"/>
  <c r="K2450"/>
  <c r="H2450"/>
  <c r="M2449"/>
  <c r="L2449"/>
  <c r="K2449"/>
  <c r="H2449"/>
  <c r="M2448"/>
  <c r="L2448"/>
  <c r="K2448"/>
  <c r="H2448"/>
  <c r="M2447"/>
  <c r="L2447"/>
  <c r="K2447"/>
  <c r="H2447"/>
  <c r="M2446"/>
  <c r="L2446"/>
  <c r="K2446"/>
  <c r="H2446"/>
  <c r="M2445"/>
  <c r="L2445"/>
  <c r="K2445"/>
  <c r="H2445"/>
  <c r="M2444"/>
  <c r="L2444"/>
  <c r="K2444"/>
  <c r="H2444"/>
  <c r="M2443"/>
  <c r="L2443"/>
  <c r="K2443"/>
  <c r="H2443"/>
  <c r="M2442"/>
  <c r="L2442"/>
  <c r="K2442"/>
  <c r="H2442"/>
  <c r="M2441"/>
  <c r="L2441"/>
  <c r="K2441"/>
  <c r="H2441"/>
  <c r="M2440"/>
  <c r="L2440"/>
  <c r="K2440"/>
  <c r="H2440"/>
  <c r="M2439"/>
  <c r="L2439"/>
  <c r="K2439"/>
  <c r="H2439"/>
  <c r="M2438"/>
  <c r="L2438"/>
  <c r="K2438"/>
  <c r="H2438"/>
  <c r="M2437"/>
  <c r="L2437"/>
  <c r="K2437"/>
  <c r="H2437"/>
  <c r="M2436"/>
  <c r="L2436"/>
  <c r="K2436"/>
  <c r="H2436"/>
  <c r="M2435"/>
  <c r="L2435"/>
  <c r="K2435"/>
  <c r="H2435"/>
  <c r="M2434"/>
  <c r="L2434"/>
  <c r="K2434"/>
  <c r="H2434"/>
  <c r="M2433"/>
  <c r="L2433"/>
  <c r="K2433"/>
  <c r="H2433"/>
  <c r="M2432"/>
  <c r="L2432"/>
  <c r="K2432"/>
  <c r="H2432"/>
  <c r="M2431"/>
  <c r="L2431"/>
  <c r="K2431"/>
  <c r="H2431"/>
  <c r="M2430"/>
  <c r="L2430"/>
  <c r="K2430"/>
  <c r="H2430"/>
  <c r="M2429"/>
  <c r="L2429"/>
  <c r="K2429"/>
  <c r="H2429"/>
  <c r="M2428"/>
  <c r="L2428"/>
  <c r="K2428"/>
  <c r="H2428"/>
  <c r="M2427"/>
  <c r="L2427"/>
  <c r="K2427"/>
  <c r="H2427"/>
  <c r="M2426"/>
  <c r="L2426"/>
  <c r="K2426"/>
  <c r="H2426"/>
  <c r="M2425"/>
  <c r="L2425"/>
  <c r="K2425"/>
  <c r="H2425"/>
  <c r="M2424"/>
  <c r="L2424"/>
  <c r="K2424"/>
  <c r="H2424"/>
  <c r="M2423"/>
  <c r="L2423"/>
  <c r="K2423"/>
  <c r="H2423"/>
  <c r="M2422"/>
  <c r="L2422"/>
  <c r="K2422"/>
  <c r="H2422"/>
  <c r="M2421"/>
  <c r="L2421"/>
  <c r="K2421"/>
  <c r="H2421"/>
  <c r="M2420"/>
  <c r="L2420"/>
  <c r="K2420"/>
  <c r="H2420"/>
  <c r="M2419"/>
  <c r="L2419"/>
  <c r="K2419"/>
  <c r="H2419"/>
  <c r="M2418"/>
  <c r="L2418"/>
  <c r="K2418"/>
  <c r="H2418"/>
  <c r="M2417"/>
  <c r="L2417"/>
  <c r="K2417"/>
  <c r="H2417"/>
  <c r="M2416"/>
  <c r="L2416"/>
  <c r="K2416"/>
  <c r="H2416"/>
  <c r="M2415"/>
  <c r="L2415"/>
  <c r="K2415"/>
  <c r="H2415"/>
  <c r="M2414"/>
  <c r="L2414"/>
  <c r="K2414"/>
  <c r="H2414"/>
  <c r="M2413"/>
  <c r="L2413"/>
  <c r="K2413"/>
  <c r="H2413"/>
  <c r="M2412"/>
  <c r="L2412"/>
  <c r="K2412"/>
  <c r="H2412"/>
  <c r="M2411"/>
  <c r="L2411"/>
  <c r="K2411"/>
  <c r="H2411"/>
  <c r="M2410"/>
  <c r="L2410"/>
  <c r="K2410"/>
  <c r="H2410"/>
  <c r="M2409"/>
  <c r="L2409"/>
  <c r="K2409"/>
  <c r="H2409"/>
  <c r="M2408"/>
  <c r="L2408"/>
  <c r="K2408"/>
  <c r="H2408"/>
  <c r="M2407"/>
  <c r="L2407"/>
  <c r="K2407"/>
  <c r="H2407"/>
  <c r="M2406"/>
  <c r="L2406"/>
  <c r="K2406"/>
  <c r="H2406"/>
  <c r="M2405"/>
  <c r="L2405"/>
  <c r="K2405"/>
  <c r="H2405"/>
  <c r="M2404"/>
  <c r="L2404"/>
  <c r="K2404"/>
  <c r="H2404"/>
  <c r="M2403"/>
  <c r="L2403"/>
  <c r="K2403"/>
  <c r="H2403"/>
  <c r="M2402"/>
  <c r="L2402"/>
  <c r="K2402"/>
  <c r="H2402"/>
  <c r="M2401"/>
  <c r="L2401"/>
  <c r="K2401"/>
  <c r="H2401"/>
  <c r="M2400"/>
  <c r="L2400"/>
  <c r="K2400"/>
  <c r="H2400"/>
  <c r="M2399"/>
  <c r="L2399"/>
  <c r="K2399"/>
  <c r="H2399"/>
  <c r="M2398"/>
  <c r="L2398"/>
  <c r="K2398"/>
  <c r="H2398"/>
  <c r="M2397"/>
  <c r="L2397"/>
  <c r="K2397"/>
  <c r="H2397"/>
  <c r="M2396"/>
  <c r="L2396"/>
  <c r="K2396"/>
  <c r="H2396"/>
  <c r="M2395"/>
  <c r="L2395"/>
  <c r="K2395"/>
  <c r="H2395"/>
  <c r="M2394"/>
  <c r="L2394"/>
  <c r="K2394"/>
  <c r="H2394"/>
  <c r="M2393"/>
  <c r="L2393"/>
  <c r="K2393"/>
  <c r="H2393"/>
  <c r="M2392"/>
  <c r="L2392"/>
  <c r="K2392"/>
  <c r="H2392"/>
  <c r="M2391"/>
  <c r="L2391"/>
  <c r="K2391"/>
  <c r="H2391"/>
  <c r="M2390"/>
  <c r="L2390"/>
  <c r="K2390"/>
  <c r="H2390"/>
  <c r="M2389"/>
  <c r="L2389"/>
  <c r="K2389"/>
  <c r="H2389"/>
  <c r="M2388"/>
  <c r="L2388"/>
  <c r="K2388"/>
  <c r="H2388"/>
  <c r="M2387"/>
  <c r="L2387"/>
  <c r="K2387"/>
  <c r="H2387"/>
  <c r="M2386"/>
  <c r="L2386"/>
  <c r="K2386"/>
  <c r="H2386"/>
  <c r="M2385"/>
  <c r="L2385"/>
  <c r="K2385"/>
  <c r="H2385"/>
  <c r="M2384"/>
  <c r="L2384"/>
  <c r="K2384"/>
  <c r="H2384"/>
  <c r="M2383"/>
  <c r="L2383"/>
  <c r="K2383"/>
  <c r="H2383"/>
  <c r="M2382"/>
  <c r="L2382"/>
  <c r="K2382"/>
  <c r="H2382"/>
  <c r="M2381"/>
  <c r="L2381"/>
  <c r="K2381"/>
  <c r="H2381"/>
  <c r="M2380"/>
  <c r="L2380"/>
  <c r="K2380"/>
  <c r="H2380"/>
  <c r="M2379"/>
  <c r="L2379"/>
  <c r="K2379"/>
  <c r="H2379"/>
  <c r="M2378"/>
  <c r="L2378"/>
  <c r="K2378"/>
  <c r="H2378"/>
  <c r="M2377"/>
  <c r="L2377"/>
  <c r="K2377"/>
  <c r="H2377"/>
  <c r="M2376"/>
  <c r="L2376"/>
  <c r="K2376"/>
  <c r="H2376"/>
  <c r="M2375"/>
  <c r="L2375"/>
  <c r="K2375"/>
  <c r="H2375"/>
  <c r="M2374"/>
  <c r="L2374"/>
  <c r="K2374"/>
  <c r="H2374"/>
  <c r="M2373"/>
  <c r="L2373"/>
  <c r="K2373"/>
  <c r="H2373"/>
  <c r="M2372"/>
  <c r="L2372"/>
  <c r="K2372"/>
  <c r="H2372"/>
  <c r="M2371"/>
  <c r="L2371"/>
  <c r="K2371"/>
  <c r="H2371"/>
  <c r="M2370"/>
  <c r="L2370"/>
  <c r="K2370"/>
  <c r="H2370"/>
  <c r="M2369"/>
  <c r="L2369"/>
  <c r="K2369"/>
  <c r="H2369"/>
  <c r="M2368"/>
  <c r="L2368"/>
  <c r="K2368"/>
  <c r="H2368"/>
  <c r="M2367"/>
  <c r="L2367"/>
  <c r="K2367"/>
  <c r="H2367"/>
  <c r="M2366"/>
  <c r="L2366"/>
  <c r="K2366"/>
  <c r="H2366"/>
  <c r="M2365"/>
  <c r="L2365"/>
  <c r="K2365"/>
  <c r="H2365"/>
  <c r="M2364"/>
  <c r="L2364"/>
  <c r="K2364"/>
  <c r="H2364"/>
  <c r="M2363"/>
  <c r="L2363"/>
  <c r="K2363"/>
  <c r="H2363"/>
  <c r="M2362"/>
  <c r="L2362"/>
  <c r="K2362"/>
  <c r="H2362"/>
  <c r="M2361"/>
  <c r="L2361"/>
  <c r="K2361"/>
  <c r="H2361"/>
  <c r="M2360"/>
  <c r="L2360"/>
  <c r="K2360"/>
  <c r="H2360"/>
  <c r="M2359"/>
  <c r="L2359"/>
  <c r="K2359"/>
  <c r="H2359"/>
  <c r="M2358"/>
  <c r="L2358"/>
  <c r="K2358"/>
  <c r="H2358"/>
  <c r="M2357"/>
  <c r="L2357"/>
  <c r="K2357"/>
  <c r="H2357"/>
  <c r="M2356"/>
  <c r="L2356"/>
  <c r="K2356"/>
  <c r="H2356"/>
  <c r="M2355"/>
  <c r="L2355"/>
  <c r="K2355"/>
  <c r="H2355"/>
  <c r="M2354"/>
  <c r="L2354"/>
  <c r="K2354"/>
  <c r="H2354"/>
  <c r="M2353"/>
  <c r="L2353"/>
  <c r="K2353"/>
  <c r="H2353"/>
  <c r="M2352"/>
  <c r="L2352"/>
  <c r="K2352"/>
  <c r="H2352"/>
  <c r="M2351"/>
  <c r="L2351"/>
  <c r="K2351"/>
  <c r="H2351"/>
  <c r="M2350"/>
  <c r="L2350"/>
  <c r="K2350"/>
  <c r="H2350"/>
  <c r="M2349"/>
  <c r="L2349"/>
  <c r="K2349"/>
  <c r="H2349"/>
  <c r="M2348"/>
  <c r="L2348"/>
  <c r="K2348"/>
  <c r="H2348"/>
  <c r="M2347"/>
  <c r="L2347"/>
  <c r="K2347"/>
  <c r="H2347"/>
  <c r="M2346"/>
  <c r="L2346"/>
  <c r="K2346"/>
  <c r="H2346"/>
  <c r="M2345"/>
  <c r="L2345"/>
  <c r="K2345"/>
  <c r="H2345"/>
  <c r="M2344"/>
  <c r="L2344"/>
  <c r="K2344"/>
  <c r="H2344"/>
  <c r="M2343"/>
  <c r="L2343"/>
  <c r="K2343"/>
  <c r="H2343"/>
  <c r="M2342"/>
  <c r="L2342"/>
  <c r="K2342"/>
  <c r="H2342"/>
  <c r="M2341"/>
  <c r="L2341"/>
  <c r="K2341"/>
  <c r="H2341"/>
  <c r="M2340"/>
  <c r="L2340"/>
  <c r="K2340"/>
  <c r="H2340"/>
  <c r="M2339"/>
  <c r="L2339"/>
  <c r="K2339"/>
  <c r="H2339"/>
  <c r="M2338"/>
  <c r="L2338"/>
  <c r="K2338"/>
  <c r="H2338"/>
  <c r="M2337"/>
  <c r="L2337"/>
  <c r="K2337"/>
  <c r="H2337"/>
  <c r="M2336"/>
  <c r="L2336"/>
  <c r="K2336"/>
  <c r="H2336"/>
  <c r="M2335"/>
  <c r="L2335"/>
  <c r="K2335"/>
  <c r="H2335"/>
  <c r="M2334"/>
  <c r="L2334"/>
  <c r="K2334"/>
  <c r="H2334"/>
  <c r="M2333"/>
  <c r="L2333"/>
  <c r="K2333"/>
  <c r="H2333"/>
  <c r="M2332"/>
  <c r="L2332"/>
  <c r="K2332"/>
  <c r="H2332"/>
  <c r="M2331"/>
  <c r="L2331"/>
  <c r="K2331"/>
  <c r="H2331"/>
  <c r="M2330"/>
  <c r="L2330"/>
  <c r="K2330"/>
  <c r="H2330"/>
  <c r="M2329"/>
  <c r="L2329"/>
  <c r="K2329"/>
  <c r="H2329"/>
  <c r="M2328"/>
  <c r="L2328"/>
  <c r="K2328"/>
  <c r="H2328"/>
  <c r="M2327"/>
  <c r="L2327"/>
  <c r="K2327"/>
  <c r="H2327"/>
  <c r="M2326"/>
  <c r="L2326"/>
  <c r="K2326"/>
  <c r="H2326"/>
  <c r="M2325"/>
  <c r="L2325"/>
  <c r="K2325"/>
  <c r="H2325"/>
  <c r="M2324"/>
  <c r="L2324"/>
  <c r="K2324"/>
  <c r="H2324"/>
  <c r="M2323"/>
  <c r="L2323"/>
  <c r="K2323"/>
  <c r="H2323"/>
  <c r="M2322"/>
  <c r="L2322"/>
  <c r="K2322"/>
  <c r="H2322"/>
  <c r="M2321"/>
  <c r="L2321"/>
  <c r="K2321"/>
  <c r="H2321"/>
  <c r="M2320"/>
  <c r="L2320"/>
  <c r="K2320"/>
  <c r="H2320"/>
  <c r="M2319"/>
  <c r="L2319"/>
  <c r="K2319"/>
  <c r="H2319"/>
  <c r="M2318"/>
  <c r="L2318"/>
  <c r="K2318"/>
  <c r="H2318"/>
  <c r="M2317"/>
  <c r="L2317"/>
  <c r="K2317"/>
  <c r="H2317"/>
  <c r="M2316"/>
  <c r="L2316"/>
  <c r="K2316"/>
  <c r="H2316"/>
  <c r="M2315"/>
  <c r="L2315"/>
  <c r="K2315"/>
  <c r="H2315"/>
  <c r="M2314"/>
  <c r="L2314"/>
  <c r="K2314"/>
  <c r="H2314"/>
  <c r="M2313"/>
  <c r="L2313"/>
  <c r="K2313"/>
  <c r="H2313"/>
  <c r="M2312"/>
  <c r="L2312"/>
  <c r="K2312"/>
  <c r="H2312"/>
  <c r="M2311"/>
  <c r="L2311"/>
  <c r="K2311"/>
  <c r="H2311"/>
  <c r="M2310"/>
  <c r="L2310"/>
  <c r="K2310"/>
  <c r="H2310"/>
  <c r="M2309"/>
  <c r="L2309"/>
  <c r="K2309"/>
  <c r="H2309"/>
  <c r="M2308"/>
  <c r="L2308"/>
  <c r="K2308"/>
  <c r="H2308"/>
  <c r="M2307"/>
  <c r="L2307"/>
  <c r="K2307"/>
  <c r="H2307"/>
  <c r="M2306"/>
  <c r="L2306"/>
  <c r="K2306"/>
  <c r="H2306"/>
  <c r="M2305"/>
  <c r="L2305"/>
  <c r="K2305"/>
  <c r="H2305"/>
  <c r="M2304"/>
  <c r="L2304"/>
  <c r="K2304"/>
  <c r="H2304"/>
  <c r="M2303"/>
  <c r="L2303"/>
  <c r="K2303"/>
  <c r="H2303"/>
  <c r="M2302"/>
  <c r="L2302"/>
  <c r="K2302"/>
  <c r="H2302"/>
  <c r="M2301"/>
  <c r="L2301"/>
  <c r="K2301"/>
  <c r="H2301"/>
  <c r="M2300"/>
  <c r="L2300"/>
  <c r="K2300"/>
  <c r="H2300"/>
  <c r="M2299"/>
  <c r="L2299"/>
  <c r="K2299"/>
  <c r="H2299"/>
  <c r="M2298"/>
  <c r="L2298"/>
  <c r="K2298"/>
  <c r="H2298"/>
  <c r="M2297"/>
  <c r="L2297"/>
  <c r="K2297"/>
  <c r="H2297"/>
  <c r="M2296"/>
  <c r="L2296"/>
  <c r="K2296"/>
  <c r="H2296"/>
  <c r="M2295"/>
  <c r="L2295"/>
  <c r="K2295"/>
  <c r="H2295"/>
  <c r="M2294"/>
  <c r="L2294"/>
  <c r="K2294"/>
  <c r="H2294"/>
  <c r="M2293"/>
  <c r="L2293"/>
  <c r="K2293"/>
  <c r="H2293"/>
  <c r="M2292"/>
  <c r="L2292"/>
  <c r="K2292"/>
  <c r="H2292"/>
  <c r="M2291"/>
  <c r="L2291"/>
  <c r="K2291"/>
  <c r="H2291"/>
  <c r="M2290"/>
  <c r="L2290"/>
  <c r="K2290"/>
  <c r="H2290"/>
  <c r="M2289"/>
  <c r="L2289"/>
  <c r="K2289"/>
  <c r="H2289"/>
  <c r="M2288"/>
  <c r="L2288"/>
  <c r="K2288"/>
  <c r="H2288"/>
  <c r="M2287"/>
  <c r="L2287"/>
  <c r="K2287"/>
  <c r="H2287"/>
  <c r="M2286"/>
  <c r="L2286"/>
  <c r="K2286"/>
  <c r="H2286"/>
  <c r="M2285"/>
  <c r="L2285"/>
  <c r="K2285"/>
  <c r="H2285"/>
  <c r="M2284"/>
  <c r="L2284"/>
  <c r="K2284"/>
  <c r="H2284"/>
  <c r="M2283"/>
  <c r="L2283"/>
  <c r="K2283"/>
  <c r="H2283"/>
  <c r="M2282"/>
  <c r="L2282"/>
  <c r="K2282"/>
  <c r="H2282"/>
  <c r="M2281"/>
  <c r="L2281"/>
  <c r="K2281"/>
  <c r="H2281"/>
  <c r="M2280"/>
  <c r="L2280"/>
  <c r="K2280"/>
  <c r="H2280"/>
  <c r="M2279"/>
  <c r="L2279"/>
  <c r="K2279"/>
  <c r="H2279"/>
  <c r="M2278"/>
  <c r="L2278"/>
  <c r="K2278"/>
  <c r="H2278"/>
  <c r="M2277"/>
  <c r="L2277"/>
  <c r="K2277"/>
  <c r="H2277"/>
  <c r="M2276"/>
  <c r="L2276"/>
  <c r="K2276"/>
  <c r="H2276"/>
  <c r="M2275"/>
  <c r="L2275"/>
  <c r="K2275"/>
  <c r="H2275"/>
  <c r="M2274"/>
  <c r="L2274"/>
  <c r="K2274"/>
  <c r="H2274"/>
  <c r="M2273"/>
  <c r="L2273"/>
  <c r="K2273"/>
  <c r="H2273"/>
  <c r="M2272"/>
  <c r="L2272"/>
  <c r="K2272"/>
  <c r="H2272"/>
  <c r="M2271"/>
  <c r="L2271"/>
  <c r="K2271"/>
  <c r="H2271"/>
  <c r="M2270"/>
  <c r="L2270"/>
  <c r="K2270"/>
  <c r="H2270"/>
  <c r="M2269"/>
  <c r="L2269"/>
  <c r="K2269"/>
  <c r="H2269"/>
  <c r="M2268"/>
  <c r="L2268"/>
  <c r="K2268"/>
  <c r="H2268"/>
  <c r="M2267"/>
  <c r="L2267"/>
  <c r="K2267"/>
  <c r="H2267"/>
  <c r="M2266"/>
  <c r="L2266"/>
  <c r="K2266"/>
  <c r="H2266"/>
  <c r="M2265"/>
  <c r="L2265"/>
  <c r="K2265"/>
  <c r="H2265"/>
  <c r="M2264"/>
  <c r="L2264"/>
  <c r="K2264"/>
  <c r="H2264"/>
  <c r="M2263"/>
  <c r="L2263"/>
  <c r="K2263"/>
  <c r="H2263"/>
  <c r="M2262"/>
  <c r="L2262"/>
  <c r="K2262"/>
  <c r="H2262"/>
  <c r="M2261"/>
  <c r="L2261"/>
  <c r="K2261"/>
  <c r="H2261"/>
  <c r="M2260"/>
  <c r="L2260"/>
  <c r="K2260"/>
  <c r="H2260"/>
  <c r="M2259"/>
  <c r="L2259"/>
  <c r="K2259"/>
  <c r="H2259"/>
  <c r="M2258"/>
  <c r="L2258"/>
  <c r="K2258"/>
  <c r="H2258"/>
  <c r="M2257"/>
  <c r="L2257"/>
  <c r="K2257"/>
  <c r="H2257"/>
  <c r="M2256"/>
  <c r="L2256"/>
  <c r="K2256"/>
  <c r="H2256"/>
  <c r="M2255"/>
  <c r="L2255"/>
  <c r="K2255"/>
  <c r="H2255"/>
  <c r="M2254"/>
  <c r="L2254"/>
  <c r="K2254"/>
  <c r="H2254"/>
  <c r="M2253"/>
  <c r="L2253"/>
  <c r="K2253"/>
  <c r="H2253"/>
  <c r="M2252"/>
  <c r="L2252"/>
  <c r="K2252"/>
  <c r="H2252"/>
  <c r="M2251"/>
  <c r="L2251"/>
  <c r="K2251"/>
  <c r="H2251"/>
  <c r="M2250"/>
  <c r="L2250"/>
  <c r="K2250"/>
  <c r="H2250"/>
  <c r="M2249"/>
  <c r="L2249"/>
  <c r="K2249"/>
  <c r="H2249"/>
  <c r="M2248"/>
  <c r="L2248"/>
  <c r="K2248"/>
  <c r="H2248"/>
  <c r="M2247"/>
  <c r="L2247"/>
  <c r="K2247"/>
  <c r="H2247"/>
  <c r="M2246"/>
  <c r="L2246"/>
  <c r="K2246"/>
  <c r="H2246"/>
  <c r="M2245"/>
  <c r="L2245"/>
  <c r="K2245"/>
  <c r="H2245"/>
  <c r="M2244"/>
  <c r="L2244"/>
  <c r="K2244"/>
  <c r="H2244"/>
  <c r="M2243"/>
  <c r="L2243"/>
  <c r="K2243"/>
  <c r="H2243"/>
  <c r="M2242"/>
  <c r="L2242"/>
  <c r="K2242"/>
  <c r="H2242"/>
  <c r="M2241"/>
  <c r="L2241"/>
  <c r="K2241"/>
  <c r="H2241"/>
  <c r="M2240"/>
  <c r="L2240"/>
  <c r="K2240"/>
  <c r="H2240"/>
  <c r="M2239"/>
  <c r="L2239"/>
  <c r="K2239"/>
  <c r="H2239"/>
  <c r="M2238"/>
  <c r="L2238"/>
  <c r="K2238"/>
  <c r="H2238"/>
  <c r="M2237"/>
  <c r="L2237"/>
  <c r="K2237"/>
  <c r="H2237"/>
  <c r="M2236"/>
  <c r="L2236"/>
  <c r="K2236"/>
  <c r="H2236"/>
  <c r="M2235"/>
  <c r="L2235"/>
  <c r="K2235"/>
  <c r="H2235"/>
  <c r="M2234"/>
  <c r="L2234"/>
  <c r="K2234"/>
  <c r="H2234"/>
  <c r="M2233"/>
  <c r="L2233"/>
  <c r="K2233"/>
  <c r="H2233"/>
  <c r="M2232"/>
  <c r="L2232"/>
  <c r="K2232"/>
  <c r="H2232"/>
  <c r="M2231"/>
  <c r="L2231"/>
  <c r="K2231"/>
  <c r="H2231"/>
  <c r="M2230"/>
  <c r="L2230"/>
  <c r="K2230"/>
  <c r="H2230"/>
  <c r="M2229"/>
  <c r="L2229"/>
  <c r="K2229"/>
  <c r="H2229"/>
  <c r="M2228"/>
  <c r="L2228"/>
  <c r="K2228"/>
  <c r="H2228"/>
  <c r="M2227"/>
  <c r="L2227"/>
  <c r="K2227"/>
  <c r="H2227"/>
  <c r="M2226"/>
  <c r="L2226"/>
  <c r="K2226"/>
  <c r="H2226"/>
  <c r="M2225"/>
  <c r="L2225"/>
  <c r="K2225"/>
  <c r="H2225"/>
  <c r="M2224"/>
  <c r="L2224"/>
  <c r="K2224"/>
  <c r="H2224"/>
  <c r="M2223"/>
  <c r="L2223"/>
  <c r="K2223"/>
  <c r="H2223"/>
  <c r="M2222"/>
  <c r="L2222"/>
  <c r="K2222"/>
  <c r="H2222"/>
  <c r="M2221"/>
  <c r="L2221"/>
  <c r="K2221"/>
  <c r="H2221"/>
  <c r="M2220"/>
  <c r="L2220"/>
  <c r="K2220"/>
  <c r="H2220"/>
  <c r="M2219"/>
  <c r="L2219"/>
  <c r="K2219"/>
  <c r="H2219"/>
  <c r="M2218"/>
  <c r="L2218"/>
  <c r="K2218"/>
  <c r="H2218"/>
  <c r="M2217"/>
  <c r="L2217"/>
  <c r="K2217"/>
  <c r="H2217"/>
  <c r="M2216"/>
  <c r="L2216"/>
  <c r="K2216"/>
  <c r="H2216"/>
  <c r="M2215"/>
  <c r="L2215"/>
  <c r="K2215"/>
  <c r="H2215"/>
  <c r="M2214"/>
  <c r="L2214"/>
  <c r="K2214"/>
  <c r="H2214"/>
  <c r="M2213"/>
  <c r="L2213"/>
  <c r="K2213"/>
  <c r="H2213"/>
  <c r="M2212"/>
  <c r="L2212"/>
  <c r="K2212"/>
  <c r="H2212"/>
  <c r="M2211"/>
  <c r="L2211"/>
  <c r="K2211"/>
  <c r="H2211"/>
  <c r="M2210"/>
  <c r="L2210"/>
  <c r="K2210"/>
  <c r="H2210"/>
  <c r="M2209"/>
  <c r="L2209"/>
  <c r="K2209"/>
  <c r="H2209"/>
  <c r="M2208"/>
  <c r="L2208"/>
  <c r="K2208"/>
  <c r="H2208"/>
  <c r="M2207"/>
  <c r="L2207"/>
  <c r="K2207"/>
  <c r="H2207"/>
  <c r="M2206"/>
  <c r="L2206"/>
  <c r="K2206"/>
  <c r="H2206"/>
  <c r="M2205"/>
  <c r="L2205"/>
  <c r="K2205"/>
  <c r="H2205"/>
  <c r="M2204"/>
  <c r="L2204"/>
  <c r="K2204"/>
  <c r="H2204"/>
  <c r="M2203"/>
  <c r="L2203"/>
  <c r="K2203"/>
  <c r="H2203"/>
  <c r="M2202"/>
  <c r="L2202"/>
  <c r="K2202"/>
  <c r="H2202"/>
  <c r="M2201"/>
  <c r="L2201"/>
  <c r="K2201"/>
  <c r="H2201"/>
  <c r="M2200"/>
  <c r="L2200"/>
  <c r="K2200"/>
  <c r="H2200"/>
  <c r="M2199"/>
  <c r="L2199"/>
  <c r="K2199"/>
  <c r="H2199"/>
  <c r="M2198"/>
  <c r="L2198"/>
  <c r="K2198"/>
  <c r="H2198"/>
  <c r="M2197"/>
  <c r="L2197"/>
  <c r="K2197"/>
  <c r="H2197"/>
  <c r="M2196"/>
  <c r="L2196"/>
  <c r="K2196"/>
  <c r="H2196"/>
  <c r="M2195"/>
  <c r="L2195"/>
  <c r="K2195"/>
  <c r="H2195"/>
  <c r="M2194"/>
  <c r="L2194"/>
  <c r="K2194"/>
  <c r="H2194"/>
  <c r="M2193"/>
  <c r="L2193"/>
  <c r="K2193"/>
  <c r="H2193"/>
  <c r="M2192"/>
  <c r="L2192"/>
  <c r="K2192"/>
  <c r="H2192"/>
  <c r="M2191"/>
  <c r="L2191"/>
  <c r="K2191"/>
  <c r="H2191"/>
  <c r="M2190"/>
  <c r="L2190"/>
  <c r="K2190"/>
  <c r="H2190"/>
  <c r="M2189"/>
  <c r="L2189"/>
  <c r="K2189"/>
  <c r="H2189"/>
  <c r="M2188"/>
  <c r="L2188"/>
  <c r="K2188"/>
  <c r="H2188"/>
  <c r="M2187"/>
  <c r="L2187"/>
  <c r="K2187"/>
  <c r="H2187"/>
  <c r="M2186"/>
  <c r="L2186"/>
  <c r="K2186"/>
  <c r="H2186"/>
  <c r="M2185"/>
  <c r="L2185"/>
  <c r="K2185"/>
  <c r="H2185"/>
  <c r="M2184"/>
  <c r="L2184"/>
  <c r="K2184"/>
  <c r="H2184"/>
  <c r="M2183"/>
  <c r="L2183"/>
  <c r="K2183"/>
  <c r="H2183"/>
  <c r="M2182"/>
  <c r="L2182"/>
  <c r="K2182"/>
  <c r="H2182"/>
  <c r="M2181"/>
  <c r="L2181"/>
  <c r="K2181"/>
  <c r="H2181"/>
  <c r="M2180"/>
  <c r="L2180"/>
  <c r="K2180"/>
  <c r="H2180"/>
  <c r="M2179"/>
  <c r="L2179"/>
  <c r="K2179"/>
  <c r="H2179"/>
  <c r="M2178"/>
  <c r="L2178"/>
  <c r="K2178"/>
  <c r="H2178"/>
  <c r="M2177"/>
  <c r="L2177"/>
  <c r="K2177"/>
  <c r="H2177"/>
  <c r="M2176"/>
  <c r="L2176"/>
  <c r="K2176"/>
  <c r="H2176"/>
  <c r="M2175"/>
  <c r="L2175"/>
  <c r="K2175"/>
  <c r="H2175"/>
  <c r="M2174"/>
  <c r="L2174"/>
  <c r="K2174"/>
  <c r="H2174"/>
  <c r="M2173"/>
  <c r="L2173"/>
  <c r="K2173"/>
  <c r="H2173"/>
  <c r="M2172"/>
  <c r="L2172"/>
  <c r="K2172"/>
  <c r="H2172"/>
  <c r="M2171"/>
  <c r="L2171"/>
  <c r="K2171"/>
  <c r="H2171"/>
  <c r="M2170"/>
  <c r="L2170"/>
  <c r="K2170"/>
  <c r="H2170"/>
  <c r="M2169"/>
  <c r="L2169"/>
  <c r="K2169"/>
  <c r="H2169"/>
  <c r="M2168"/>
  <c r="L2168"/>
  <c r="K2168"/>
  <c r="H2168"/>
  <c r="M2167"/>
  <c r="L2167"/>
  <c r="K2167"/>
  <c r="H2167"/>
  <c r="M2166"/>
  <c r="L2166"/>
  <c r="K2166"/>
  <c r="H2166"/>
  <c r="M2165"/>
  <c r="L2165"/>
  <c r="K2165"/>
  <c r="H2165"/>
  <c r="M2164"/>
  <c r="L2164"/>
  <c r="K2164"/>
  <c r="H2164"/>
  <c r="M2163"/>
  <c r="L2163"/>
  <c r="K2163"/>
  <c r="H2163"/>
  <c r="M2162"/>
  <c r="L2162"/>
  <c r="K2162"/>
  <c r="H2162"/>
  <c r="M2161"/>
  <c r="L2161"/>
  <c r="K2161"/>
  <c r="H2161"/>
  <c r="M2160"/>
  <c r="L2160"/>
  <c r="K2160"/>
  <c r="H2160"/>
  <c r="M2159"/>
  <c r="L2159"/>
  <c r="K2159"/>
  <c r="H2159"/>
  <c r="M2158"/>
  <c r="L2158"/>
  <c r="K2158"/>
  <c r="H2158"/>
  <c r="M2157"/>
  <c r="L2157"/>
  <c r="K2157"/>
  <c r="H2157"/>
  <c r="M2156"/>
  <c r="L2156"/>
  <c r="K2156"/>
  <c r="H2156"/>
  <c r="M2155"/>
  <c r="L2155"/>
  <c r="K2155"/>
  <c r="H2155"/>
  <c r="M2154"/>
  <c r="L2154"/>
  <c r="K2154"/>
  <c r="H2154"/>
  <c r="M2153"/>
  <c r="L2153"/>
  <c r="K2153"/>
  <c r="H2153"/>
  <c r="M2152"/>
  <c r="L2152"/>
  <c r="K2152"/>
  <c r="H2152"/>
  <c r="M2151"/>
  <c r="L2151"/>
  <c r="K2151"/>
  <c r="H2151"/>
  <c r="M2150"/>
  <c r="L2150"/>
  <c r="K2150"/>
  <c r="H2150"/>
  <c r="M2149"/>
  <c r="L2149"/>
  <c r="K2149"/>
  <c r="H2149"/>
  <c r="M2148"/>
  <c r="L2148"/>
  <c r="K2148"/>
  <c r="H2148"/>
  <c r="M2147"/>
  <c r="L2147"/>
  <c r="K2147"/>
  <c r="H2147"/>
  <c r="M2146"/>
  <c r="L2146"/>
  <c r="K2146"/>
  <c r="H2146"/>
  <c r="M2145"/>
  <c r="L2145"/>
  <c r="K2145"/>
  <c r="H2145"/>
  <c r="M2144"/>
  <c r="L2144"/>
  <c r="K2144"/>
  <c r="H2144"/>
  <c r="M2143"/>
  <c r="L2143"/>
  <c r="K2143"/>
  <c r="H2143"/>
  <c r="M2142"/>
  <c r="L2142"/>
  <c r="K2142"/>
  <c r="H2142"/>
  <c r="M2141"/>
  <c r="L2141"/>
  <c r="K2141"/>
  <c r="H2141"/>
  <c r="M2140"/>
  <c r="L2140"/>
  <c r="K2140"/>
  <c r="H2140"/>
  <c r="M2139"/>
  <c r="L2139"/>
  <c r="K2139"/>
  <c r="H2139"/>
  <c r="M2138"/>
  <c r="L2138"/>
  <c r="K2138"/>
  <c r="H2138"/>
  <c r="M2137"/>
  <c r="L2137"/>
  <c r="K2137"/>
  <c r="H2137"/>
  <c r="M2136"/>
  <c r="L2136"/>
  <c r="K2136"/>
  <c r="H2136"/>
  <c r="M2135"/>
  <c r="L2135"/>
  <c r="K2135"/>
  <c r="H2135"/>
  <c r="M2134"/>
  <c r="L2134"/>
  <c r="K2134"/>
  <c r="H2134"/>
  <c r="M2133"/>
  <c r="L2133"/>
  <c r="K2133"/>
  <c r="H2133"/>
  <c r="M2132"/>
  <c r="L2132"/>
  <c r="K2132"/>
  <c r="H2132"/>
  <c r="M2131"/>
  <c r="L2131"/>
  <c r="K2131"/>
  <c r="H2131"/>
  <c r="M2130"/>
  <c r="L2130"/>
  <c r="K2130"/>
  <c r="H2130"/>
  <c r="M2129"/>
  <c r="L2129"/>
  <c r="K2129"/>
  <c r="H2129"/>
  <c r="M2128"/>
  <c r="L2128"/>
  <c r="K2128"/>
  <c r="H2128"/>
  <c r="M2127"/>
  <c r="L2127"/>
  <c r="K2127"/>
  <c r="H2127"/>
  <c r="M2126"/>
  <c r="L2126"/>
  <c r="K2126"/>
  <c r="H2126"/>
  <c r="M2125"/>
  <c r="L2125"/>
  <c r="K2125"/>
  <c r="H2125"/>
  <c r="M2124"/>
  <c r="L2124"/>
  <c r="K2124"/>
  <c r="H2124"/>
  <c r="M2123"/>
  <c r="L2123"/>
  <c r="K2123"/>
  <c r="H2123"/>
  <c r="M2122"/>
  <c r="L2122"/>
  <c r="K2122"/>
  <c r="H2122"/>
  <c r="M2121"/>
  <c r="L2121"/>
  <c r="K2121"/>
  <c r="H2121"/>
  <c r="M2120"/>
  <c r="L2120"/>
  <c r="K2120"/>
  <c r="H2120"/>
  <c r="M2119"/>
  <c r="L2119"/>
  <c r="K2119"/>
  <c r="H2119"/>
  <c r="M2118"/>
  <c r="L2118"/>
  <c r="K2118"/>
  <c r="H2118"/>
  <c r="M2117"/>
  <c r="L2117"/>
  <c r="K2117"/>
  <c r="H2117"/>
  <c r="M2116"/>
  <c r="L2116"/>
  <c r="K2116"/>
  <c r="H2116"/>
  <c r="M2115"/>
  <c r="L2115"/>
  <c r="K2115"/>
  <c r="H2115"/>
  <c r="M2114"/>
  <c r="L2114"/>
  <c r="K2114"/>
  <c r="H2114"/>
  <c r="M2113"/>
  <c r="L2113"/>
  <c r="K2113"/>
  <c r="H2113"/>
  <c r="M2112"/>
  <c r="L2112"/>
  <c r="K2112"/>
  <c r="H2112"/>
  <c r="M2111"/>
  <c r="L2111"/>
  <c r="K2111"/>
  <c r="H2111"/>
  <c r="M2110"/>
  <c r="L2110"/>
  <c r="K2110"/>
  <c r="H2110"/>
  <c r="M2109"/>
  <c r="L2109"/>
  <c r="K2109"/>
  <c r="H2109"/>
  <c r="M2108"/>
  <c r="L2108"/>
  <c r="K2108"/>
  <c r="H2108"/>
  <c r="M2107"/>
  <c r="L2107"/>
  <c r="K2107"/>
  <c r="H2107"/>
  <c r="M2106"/>
  <c r="L2106"/>
  <c r="K2106"/>
  <c r="H2106"/>
  <c r="M2105"/>
  <c r="L2105"/>
  <c r="K2105"/>
  <c r="H2105"/>
  <c r="M2104"/>
  <c r="L2104"/>
  <c r="K2104"/>
  <c r="H2104"/>
  <c r="M2103"/>
  <c r="L2103"/>
  <c r="K2103"/>
  <c r="H2103"/>
  <c r="M2102"/>
  <c r="L2102"/>
  <c r="K2102"/>
  <c r="H2102"/>
  <c r="M2101"/>
  <c r="L2101"/>
  <c r="K2101"/>
  <c r="H2101"/>
  <c r="M2100"/>
  <c r="L2100"/>
  <c r="K2100"/>
  <c r="H2100"/>
  <c r="M2099"/>
  <c r="L2099"/>
  <c r="K2099"/>
  <c r="H2099"/>
  <c r="M2098"/>
  <c r="L2098"/>
  <c r="K2098"/>
  <c r="H2098"/>
  <c r="M2097"/>
  <c r="L2097"/>
  <c r="K2097"/>
  <c r="H2097"/>
  <c r="M2096"/>
  <c r="L2096"/>
  <c r="K2096"/>
  <c r="H2096"/>
  <c r="M2095"/>
  <c r="L2095"/>
  <c r="K2095"/>
  <c r="H2095"/>
  <c r="M2094"/>
  <c r="L2094"/>
  <c r="K2094"/>
  <c r="H2094"/>
  <c r="M2093"/>
  <c r="L2093"/>
  <c r="K2093"/>
  <c r="H2093"/>
  <c r="M2092"/>
  <c r="L2092"/>
  <c r="K2092"/>
  <c r="H2092"/>
  <c r="M2091"/>
  <c r="L2091"/>
  <c r="K2091"/>
  <c r="H2091"/>
  <c r="M2090"/>
  <c r="L2090"/>
  <c r="K2090"/>
  <c r="H2090"/>
  <c r="M2089"/>
  <c r="L2089"/>
  <c r="K2089"/>
  <c r="H2089"/>
  <c r="M2088"/>
  <c r="L2088"/>
  <c r="K2088"/>
  <c r="H2088"/>
  <c r="M2087"/>
  <c r="L2087"/>
  <c r="K2087"/>
  <c r="H2087"/>
  <c r="M2086"/>
  <c r="L2086"/>
  <c r="K2086"/>
  <c r="H2086"/>
  <c r="M2085"/>
  <c r="L2085"/>
  <c r="K2085"/>
  <c r="H2085"/>
  <c r="M2084"/>
  <c r="L2084"/>
  <c r="K2084"/>
  <c r="H2084"/>
  <c r="M2083"/>
  <c r="L2083"/>
  <c r="K2083"/>
  <c r="H2083"/>
  <c r="M2082"/>
  <c r="L2082"/>
  <c r="K2082"/>
  <c r="H2082"/>
  <c r="M2081"/>
  <c r="L2081"/>
  <c r="K2081"/>
  <c r="H2081"/>
  <c r="M2080"/>
  <c r="L2080"/>
  <c r="K2080"/>
  <c r="H2080"/>
  <c r="M2079"/>
  <c r="L2079"/>
  <c r="K2079"/>
  <c r="H2079"/>
  <c r="M2078"/>
  <c r="L2078"/>
  <c r="K2078"/>
  <c r="H2078"/>
  <c r="M2077"/>
  <c r="L2077"/>
  <c r="K2077"/>
  <c r="H2077"/>
  <c r="M2076"/>
  <c r="L2076"/>
  <c r="K2076"/>
  <c r="H2076"/>
  <c r="M2075"/>
  <c r="L2075"/>
  <c r="K2075"/>
  <c r="H2075"/>
  <c r="M2074"/>
  <c r="L2074"/>
  <c r="K2074"/>
  <c r="H2074"/>
  <c r="M2073"/>
  <c r="L2073"/>
  <c r="K2073"/>
  <c r="H2073"/>
  <c r="M2072"/>
  <c r="L2072"/>
  <c r="K2072"/>
  <c r="H2072"/>
  <c r="M2071"/>
  <c r="L2071"/>
  <c r="K2071"/>
  <c r="H2071"/>
  <c r="M2070"/>
  <c r="L2070"/>
  <c r="K2070"/>
  <c r="H2070"/>
  <c r="M2069"/>
  <c r="L2069"/>
  <c r="K2069"/>
  <c r="H2069"/>
  <c r="M2068"/>
  <c r="L2068"/>
  <c r="K2068"/>
  <c r="H2068"/>
  <c r="M2067"/>
  <c r="L2067"/>
  <c r="K2067"/>
  <c r="H2067"/>
  <c r="M2066"/>
  <c r="L2066"/>
  <c r="K2066"/>
  <c r="H2066"/>
  <c r="M2065"/>
  <c r="L2065"/>
  <c r="K2065"/>
  <c r="H2065"/>
  <c r="M2064"/>
  <c r="L2064"/>
  <c r="K2064"/>
  <c r="H2064"/>
  <c r="M2063"/>
  <c r="L2063"/>
  <c r="K2063"/>
  <c r="H2063"/>
  <c r="M2062"/>
  <c r="L2062"/>
  <c r="K2062"/>
  <c r="H2062"/>
  <c r="M2061"/>
  <c r="L2061"/>
  <c r="K2061"/>
  <c r="H2061"/>
  <c r="M2060"/>
  <c r="L2060"/>
  <c r="K2060"/>
  <c r="H2060"/>
  <c r="M2059"/>
  <c r="L2059"/>
  <c r="K2059"/>
  <c r="H2059"/>
  <c r="M2058"/>
  <c r="L2058"/>
  <c r="K2058"/>
  <c r="H2058"/>
  <c r="M2057"/>
  <c r="L2057"/>
  <c r="K2057"/>
  <c r="H2057"/>
  <c r="M2056"/>
  <c r="L2056"/>
  <c r="K2056"/>
  <c r="H2056"/>
  <c r="M2055"/>
  <c r="L2055"/>
  <c r="K2055"/>
  <c r="H2055"/>
  <c r="M2054"/>
  <c r="L2054"/>
  <c r="K2054"/>
  <c r="H2054"/>
  <c r="M2053"/>
  <c r="L2053"/>
  <c r="K2053"/>
  <c r="H2053"/>
  <c r="M2052"/>
  <c r="L2052"/>
  <c r="K2052"/>
  <c r="H2052"/>
  <c r="M2051"/>
  <c r="L2051"/>
  <c r="K2051"/>
  <c r="H2051"/>
  <c r="M2050"/>
  <c r="L2050"/>
  <c r="K2050"/>
  <c r="H2050"/>
  <c r="M2049"/>
  <c r="L2049"/>
  <c r="K2049"/>
  <c r="H2049"/>
  <c r="M2048"/>
  <c r="L2048"/>
  <c r="K2048"/>
  <c r="H2048"/>
  <c r="M2047"/>
  <c r="L2047"/>
  <c r="K2047"/>
  <c r="H2047"/>
  <c r="M2046"/>
  <c r="L2046"/>
  <c r="K2046"/>
  <c r="H2046"/>
  <c r="M2045"/>
  <c r="L2045"/>
  <c r="K2045"/>
  <c r="H2045"/>
  <c r="M2044"/>
  <c r="L2044"/>
  <c r="K2044"/>
  <c r="H2044"/>
  <c r="M2043"/>
  <c r="L2043"/>
  <c r="K2043"/>
  <c r="H2043"/>
  <c r="M2042"/>
  <c r="L2042"/>
  <c r="K2042"/>
  <c r="H2042"/>
  <c r="M2041"/>
  <c r="L2041"/>
  <c r="K2041"/>
  <c r="H2041"/>
  <c r="M2040"/>
  <c r="L2040"/>
  <c r="K2040"/>
  <c r="H2040"/>
  <c r="M2039"/>
  <c r="L2039"/>
  <c r="K2039"/>
  <c r="H2039"/>
  <c r="M2038"/>
  <c r="L2038"/>
  <c r="K2038"/>
  <c r="H2038"/>
  <c r="M2037"/>
  <c r="L2037"/>
  <c r="K2037"/>
  <c r="H2037"/>
  <c r="M2036"/>
  <c r="L2036"/>
  <c r="K2036"/>
  <c r="H2036"/>
  <c r="M2035"/>
  <c r="L2035"/>
  <c r="K2035"/>
  <c r="H2035"/>
  <c r="M2034"/>
  <c r="L2034"/>
  <c r="K2034"/>
  <c r="H2034"/>
  <c r="M2033"/>
  <c r="L2033"/>
  <c r="K2033"/>
  <c r="H2033"/>
  <c r="M2032"/>
  <c r="L2032"/>
  <c r="K2032"/>
  <c r="H2032"/>
  <c r="M2031"/>
  <c r="L2031"/>
  <c r="K2031"/>
  <c r="H2031"/>
  <c r="M2030"/>
  <c r="L2030"/>
  <c r="K2030"/>
  <c r="H2030"/>
  <c r="M2029"/>
  <c r="L2029"/>
  <c r="K2029"/>
  <c r="H2029"/>
  <c r="M2028"/>
  <c r="L2028"/>
  <c r="K2028"/>
  <c r="H2028"/>
  <c r="M2027"/>
  <c r="L2027"/>
  <c r="K2027"/>
  <c r="H2027"/>
  <c r="M2026"/>
  <c r="L2026"/>
  <c r="K2026"/>
  <c r="H2026"/>
  <c r="M2025"/>
  <c r="L2025"/>
  <c r="K2025"/>
  <c r="H2025"/>
  <c r="M2024"/>
  <c r="L2024"/>
  <c r="K2024"/>
  <c r="H2024"/>
  <c r="M2023"/>
  <c r="L2023"/>
  <c r="K2023"/>
  <c r="H2023"/>
  <c r="M2022"/>
  <c r="L2022"/>
  <c r="K2022"/>
  <c r="H2022"/>
  <c r="M2021"/>
  <c r="L2021"/>
  <c r="K2021"/>
  <c r="H2021"/>
  <c r="M2020"/>
  <c r="L2020"/>
  <c r="K2020"/>
  <c r="H2020"/>
  <c r="M2019"/>
  <c r="L2019"/>
  <c r="K2019"/>
  <c r="H2019"/>
  <c r="M2018"/>
  <c r="L2018"/>
  <c r="K2018"/>
  <c r="H2018"/>
  <c r="M2017"/>
  <c r="L2017"/>
  <c r="K2017"/>
  <c r="H2017"/>
  <c r="M2016"/>
  <c r="L2016"/>
  <c r="K2016"/>
  <c r="H2016"/>
  <c r="M2015"/>
  <c r="L2015"/>
  <c r="K2015"/>
  <c r="H2015"/>
  <c r="M2014"/>
  <c r="L2014"/>
  <c r="K2014"/>
  <c r="H2014"/>
  <c r="M2013"/>
  <c r="L2013"/>
  <c r="K2013"/>
  <c r="H2013"/>
  <c r="M2012"/>
  <c r="L2012"/>
  <c r="K2012"/>
  <c r="H2012"/>
  <c r="M2011"/>
  <c r="L2011"/>
  <c r="K2011"/>
  <c r="H2011"/>
  <c r="M2010"/>
  <c r="L2010"/>
  <c r="K2010"/>
  <c r="H2010"/>
  <c r="M2009"/>
  <c r="L2009"/>
  <c r="K2009"/>
  <c r="H2009"/>
  <c r="M2008"/>
  <c r="L2008"/>
  <c r="K2008"/>
  <c r="H2008"/>
  <c r="M2007"/>
  <c r="L2007"/>
  <c r="K2007"/>
  <c r="H2007"/>
  <c r="M2006"/>
  <c r="L2006"/>
  <c r="K2006"/>
  <c r="H2006"/>
  <c r="M2005"/>
  <c r="L2005"/>
  <c r="K2005"/>
  <c r="H2005"/>
  <c r="M2004"/>
  <c r="L2004"/>
  <c r="K2004"/>
  <c r="H2004"/>
  <c r="M2003"/>
  <c r="L2003"/>
  <c r="K2003"/>
  <c r="H2003"/>
  <c r="M2002"/>
  <c r="L2002"/>
  <c r="K2002"/>
  <c r="H2002"/>
  <c r="M2001"/>
  <c r="L2001"/>
  <c r="K2001"/>
  <c r="H2001"/>
  <c r="M2000"/>
  <c r="L2000"/>
  <c r="K2000"/>
  <c r="H2000"/>
  <c r="M1999"/>
  <c r="L1999"/>
  <c r="K1999"/>
  <c r="H1999"/>
  <c r="M1998"/>
  <c r="L1998"/>
  <c r="K1998"/>
  <c r="H1998"/>
  <c r="M1997"/>
  <c r="L1997"/>
  <c r="K1997"/>
  <c r="H1997"/>
  <c r="M1996"/>
  <c r="L1996"/>
  <c r="K1996"/>
  <c r="H1996"/>
  <c r="M1995"/>
  <c r="L1995"/>
  <c r="K1995"/>
  <c r="H1995"/>
  <c r="M1994"/>
  <c r="L1994"/>
  <c r="K1994"/>
  <c r="H1994"/>
  <c r="M1993"/>
  <c r="L1993"/>
  <c r="K1993"/>
  <c r="H1993"/>
  <c r="M1992"/>
  <c r="L1992"/>
  <c r="K1992"/>
  <c r="H1992"/>
  <c r="M1991"/>
  <c r="L1991"/>
  <c r="K1991"/>
  <c r="H1991"/>
  <c r="M1990"/>
  <c r="L1990"/>
  <c r="K1990"/>
  <c r="H1990"/>
  <c r="M1989"/>
  <c r="L1989"/>
  <c r="K1989"/>
  <c r="H1989"/>
  <c r="M1988"/>
  <c r="L1988"/>
  <c r="K1988"/>
  <c r="H1988"/>
  <c r="M1987"/>
  <c r="L1987"/>
  <c r="K1987"/>
  <c r="H1987"/>
  <c r="M1986"/>
  <c r="L1986"/>
  <c r="K1986"/>
  <c r="H1986"/>
  <c r="M1985"/>
  <c r="L1985"/>
  <c r="K1985"/>
  <c r="H1985"/>
  <c r="M1984"/>
  <c r="L1984"/>
  <c r="K1984"/>
  <c r="H1984"/>
  <c r="M1983"/>
  <c r="L1983"/>
  <c r="K1983"/>
  <c r="H1983"/>
  <c r="M1982"/>
  <c r="L1982"/>
  <c r="K1982"/>
  <c r="H1982"/>
  <c r="M1981"/>
  <c r="L1981"/>
  <c r="K1981"/>
  <c r="H1981"/>
  <c r="M1980"/>
  <c r="L1980"/>
  <c r="K1980"/>
  <c r="H1980"/>
  <c r="M1979"/>
  <c r="L1979"/>
  <c r="K1979"/>
  <c r="H1979"/>
  <c r="M1978"/>
  <c r="L1978"/>
  <c r="K1978"/>
  <c r="H1978"/>
  <c r="M1977"/>
  <c r="L1977"/>
  <c r="K1977"/>
  <c r="H1977"/>
  <c r="M1976"/>
  <c r="L1976"/>
  <c r="K1976"/>
  <c r="H1976"/>
  <c r="M1975"/>
  <c r="L1975"/>
  <c r="K1975"/>
  <c r="H1975"/>
  <c r="M1974"/>
  <c r="L1974"/>
  <c r="K1974"/>
  <c r="H1974"/>
  <c r="M1973"/>
  <c r="L1973"/>
  <c r="K1973"/>
  <c r="H1973"/>
  <c r="M1972"/>
  <c r="L1972"/>
  <c r="K1972"/>
  <c r="H1972"/>
  <c r="M1971"/>
  <c r="L1971"/>
  <c r="K1971"/>
  <c r="H1971"/>
  <c r="M1970"/>
  <c r="L1970"/>
  <c r="K1970"/>
  <c r="H1970"/>
  <c r="M1969"/>
  <c r="L1969"/>
  <c r="K1969"/>
  <c r="H1969"/>
  <c r="M1968"/>
  <c r="L1968"/>
  <c r="K1968"/>
  <c r="H1968"/>
  <c r="M1967"/>
  <c r="L1967"/>
  <c r="K1967"/>
  <c r="H1967"/>
  <c r="M1966"/>
  <c r="L1966"/>
  <c r="K1966"/>
  <c r="H1966"/>
  <c r="M1965"/>
  <c r="L1965"/>
  <c r="K1965"/>
  <c r="H1965"/>
  <c r="M1964"/>
  <c r="L1964"/>
  <c r="K1964"/>
  <c r="H1964"/>
  <c r="M1963"/>
  <c r="L1963"/>
  <c r="K1963"/>
  <c r="H1963"/>
  <c r="M1962"/>
  <c r="L1962"/>
  <c r="K1962"/>
  <c r="H1962"/>
  <c r="M1961"/>
  <c r="L1961"/>
  <c r="K1961"/>
  <c r="H1961"/>
  <c r="M1960"/>
  <c r="L1960"/>
  <c r="K1960"/>
  <c r="H1960"/>
  <c r="M1959"/>
  <c r="L1959"/>
  <c r="K1959"/>
  <c r="H1959"/>
  <c r="M1958"/>
  <c r="L1958"/>
  <c r="K1958"/>
  <c r="H1958"/>
  <c r="M1957"/>
  <c r="L1957"/>
  <c r="K1957"/>
  <c r="H1957"/>
  <c r="M1956"/>
  <c r="L1956"/>
  <c r="K1956"/>
  <c r="H1956"/>
  <c r="M1955"/>
  <c r="L1955"/>
  <c r="K1955"/>
  <c r="H1955"/>
  <c r="M1954"/>
  <c r="L1954"/>
  <c r="K1954"/>
  <c r="H1954"/>
  <c r="M1953"/>
  <c r="L1953"/>
  <c r="K1953"/>
  <c r="H1953"/>
  <c r="M1952"/>
  <c r="L1952"/>
  <c r="K1952"/>
  <c r="H1952"/>
  <c r="M1951"/>
  <c r="L1951"/>
  <c r="K1951"/>
  <c r="H1951"/>
  <c r="M1950"/>
  <c r="L1950"/>
  <c r="K1950"/>
  <c r="H1950"/>
  <c r="M1949"/>
  <c r="L1949"/>
  <c r="K1949"/>
  <c r="H1949"/>
  <c r="M1948"/>
  <c r="L1948"/>
  <c r="K1948"/>
  <c r="H1948"/>
  <c r="M1947"/>
  <c r="L1947"/>
  <c r="K1947"/>
  <c r="H1947"/>
  <c r="M1946"/>
  <c r="L1946"/>
  <c r="K1946"/>
  <c r="H1946"/>
  <c r="M1945"/>
  <c r="L1945"/>
  <c r="K1945"/>
  <c r="H1945"/>
  <c r="M1944"/>
  <c r="L1944"/>
  <c r="K1944"/>
  <c r="H1944"/>
  <c r="M1943"/>
  <c r="L1943"/>
  <c r="K1943"/>
  <c r="H1943"/>
  <c r="M1942"/>
  <c r="L1942"/>
  <c r="K1942"/>
  <c r="H1942"/>
  <c r="M1941"/>
  <c r="L1941"/>
  <c r="K1941"/>
  <c r="H1941"/>
  <c r="M1940"/>
  <c r="L1940"/>
  <c r="K1940"/>
  <c r="H1940"/>
  <c r="M1939"/>
  <c r="L1939"/>
  <c r="K1939"/>
  <c r="H1939"/>
  <c r="M1938"/>
  <c r="L1938"/>
  <c r="K1938"/>
  <c r="H1938"/>
  <c r="M1937"/>
  <c r="L1937"/>
  <c r="K1937"/>
  <c r="H1937"/>
  <c r="M1936"/>
  <c r="L1936"/>
  <c r="K1936"/>
  <c r="H1936"/>
  <c r="M1935"/>
  <c r="L1935"/>
  <c r="K1935"/>
  <c r="H1935"/>
  <c r="M1934"/>
  <c r="L1934"/>
  <c r="K1934"/>
  <c r="H1934"/>
  <c r="M1933"/>
  <c r="L1933"/>
  <c r="K1933"/>
  <c r="H1933"/>
  <c r="M1932"/>
  <c r="L1932"/>
  <c r="K1932"/>
  <c r="H1932"/>
  <c r="M1931"/>
  <c r="L1931"/>
  <c r="K1931"/>
  <c r="H1931"/>
  <c r="M1930"/>
  <c r="L1930"/>
  <c r="K1930"/>
  <c r="H1930"/>
  <c r="M1929"/>
  <c r="L1929"/>
  <c r="K1929"/>
  <c r="H1929"/>
  <c r="M1928"/>
  <c r="L1928"/>
  <c r="K1928"/>
  <c r="H1928"/>
  <c r="M1927"/>
  <c r="L1927"/>
  <c r="K1927"/>
  <c r="H1927"/>
  <c r="M1926"/>
  <c r="L1926"/>
  <c r="K1926"/>
  <c r="H1926"/>
  <c r="M1925"/>
  <c r="L1925"/>
  <c r="K1925"/>
  <c r="H1925"/>
  <c r="M1924"/>
  <c r="L1924"/>
  <c r="K1924"/>
  <c r="H1924"/>
  <c r="M1923"/>
  <c r="L1923"/>
  <c r="K1923"/>
  <c r="H1923"/>
  <c r="M1922"/>
  <c r="L1922"/>
  <c r="K1922"/>
  <c r="H1922"/>
  <c r="M1921"/>
  <c r="L1921"/>
  <c r="K1921"/>
  <c r="H1921"/>
  <c r="M1920"/>
  <c r="L1920"/>
  <c r="K1920"/>
  <c r="H1920"/>
  <c r="M1919"/>
  <c r="L1919"/>
  <c r="K1919"/>
  <c r="H1919"/>
  <c r="M1918"/>
  <c r="L1918"/>
  <c r="K1918"/>
  <c r="H1918"/>
  <c r="M1917"/>
  <c r="L1917"/>
  <c r="K1917"/>
  <c r="H1917"/>
  <c r="M1916"/>
  <c r="L1916"/>
  <c r="K1916"/>
  <c r="H1916"/>
  <c r="M1915"/>
  <c r="L1915"/>
  <c r="K1915"/>
  <c r="H1915"/>
  <c r="M1914"/>
  <c r="L1914"/>
  <c r="K1914"/>
  <c r="H1914"/>
  <c r="M1913"/>
  <c r="L1913"/>
  <c r="K1913"/>
  <c r="H1913"/>
  <c r="M1912"/>
  <c r="L1912"/>
  <c r="K1912"/>
  <c r="H1912"/>
  <c r="M1911"/>
  <c r="L1911"/>
  <c r="K1911"/>
  <c r="H1911"/>
  <c r="M1910"/>
  <c r="L1910"/>
  <c r="K1910"/>
  <c r="H1910"/>
  <c r="M1909"/>
  <c r="L1909"/>
  <c r="K1909"/>
  <c r="H1909"/>
  <c r="M1908"/>
  <c r="L1908"/>
  <c r="K1908"/>
  <c r="H1908"/>
  <c r="M1907"/>
  <c r="L1907"/>
  <c r="K1907"/>
  <c r="H1907"/>
  <c r="M1906"/>
  <c r="L1906"/>
  <c r="K1906"/>
  <c r="H1906"/>
  <c r="M1905"/>
  <c r="L1905"/>
  <c r="K1905"/>
  <c r="H1905"/>
  <c r="M1904"/>
  <c r="L1904"/>
  <c r="K1904"/>
  <c r="H1904"/>
  <c r="M1903"/>
  <c r="L1903"/>
  <c r="K1903"/>
  <c r="H1903"/>
  <c r="M1902"/>
  <c r="L1902"/>
  <c r="K1902"/>
  <c r="H1902"/>
  <c r="M1901"/>
  <c r="L1901"/>
  <c r="K1901"/>
  <c r="H1901"/>
  <c r="M1900"/>
  <c r="L1900"/>
  <c r="K1900"/>
  <c r="H1900"/>
  <c r="M1899"/>
  <c r="L1899"/>
  <c r="K1899"/>
  <c r="H1899"/>
  <c r="M1898"/>
  <c r="L1898"/>
  <c r="K1898"/>
  <c r="H1898"/>
  <c r="M1897"/>
  <c r="L1897"/>
  <c r="K1897"/>
  <c r="H1897"/>
  <c r="M1896"/>
  <c r="L1896"/>
  <c r="K1896"/>
  <c r="H1896"/>
  <c r="M1895"/>
  <c r="L1895"/>
  <c r="K1895"/>
  <c r="H1895"/>
  <c r="M1894"/>
  <c r="L1894"/>
  <c r="K1894"/>
  <c r="H1894"/>
  <c r="M1893"/>
  <c r="L1893"/>
  <c r="K1893"/>
  <c r="H1893"/>
  <c r="M1892"/>
  <c r="L1892"/>
  <c r="K1892"/>
  <c r="H1892"/>
  <c r="M1891"/>
  <c r="L1891"/>
  <c r="K1891"/>
  <c r="H1891"/>
  <c r="M1890"/>
  <c r="L1890"/>
  <c r="K1890"/>
  <c r="H1890"/>
  <c r="M1889"/>
  <c r="L1889"/>
  <c r="K1889"/>
  <c r="H1889"/>
  <c r="M1888"/>
  <c r="L1888"/>
  <c r="K1888"/>
  <c r="H1888"/>
  <c r="M1887"/>
  <c r="L1887"/>
  <c r="K1887"/>
  <c r="H1887"/>
  <c r="M1886"/>
  <c r="L1886"/>
  <c r="K1886"/>
  <c r="H1886"/>
  <c r="M1885"/>
  <c r="L1885"/>
  <c r="K1885"/>
  <c r="H1885"/>
  <c r="M1884"/>
  <c r="L1884"/>
  <c r="K1884"/>
  <c r="H1884"/>
  <c r="M1883"/>
  <c r="L1883"/>
  <c r="K1883"/>
  <c r="H1883"/>
  <c r="M1882"/>
  <c r="L1882"/>
  <c r="K1882"/>
  <c r="H1882"/>
  <c r="M1881"/>
  <c r="L1881"/>
  <c r="K1881"/>
  <c r="H1881"/>
  <c r="M1880"/>
  <c r="L1880"/>
  <c r="K1880"/>
  <c r="H1880"/>
  <c r="M1879"/>
  <c r="L1879"/>
  <c r="K1879"/>
  <c r="H1879"/>
  <c r="M1878"/>
  <c r="L1878"/>
  <c r="K1878"/>
  <c r="H1878"/>
  <c r="M1877"/>
  <c r="L1877"/>
  <c r="K1877"/>
  <c r="H1877"/>
  <c r="M1876"/>
  <c r="L1876"/>
  <c r="K1876"/>
  <c r="H1876"/>
  <c r="M1875"/>
  <c r="L1875"/>
  <c r="K1875"/>
  <c r="H1875"/>
  <c r="M1874"/>
  <c r="L1874"/>
  <c r="K1874"/>
  <c r="H1874"/>
  <c r="M1873"/>
  <c r="L1873"/>
  <c r="K1873"/>
  <c r="H1873"/>
  <c r="M1872"/>
  <c r="L1872"/>
  <c r="K1872"/>
  <c r="H1872"/>
  <c r="M1871"/>
  <c r="L1871"/>
  <c r="K1871"/>
  <c r="H1871"/>
  <c r="M1870"/>
  <c r="L1870"/>
  <c r="K1870"/>
  <c r="H1870"/>
  <c r="M1869"/>
  <c r="L1869"/>
  <c r="K1869"/>
  <c r="H1869"/>
  <c r="M1868"/>
  <c r="L1868"/>
  <c r="K1868"/>
  <c r="H1868"/>
  <c r="M1867"/>
  <c r="L1867"/>
  <c r="K1867"/>
  <c r="H1867"/>
  <c r="M1866"/>
  <c r="L1866"/>
  <c r="K1866"/>
  <c r="H1866"/>
  <c r="M1865"/>
  <c r="L1865"/>
  <c r="K1865"/>
  <c r="H1865"/>
  <c r="M1864"/>
  <c r="L1864"/>
  <c r="K1864"/>
  <c r="H1864"/>
  <c r="M1863"/>
  <c r="L1863"/>
  <c r="K1863"/>
  <c r="H1863"/>
  <c r="M1862"/>
  <c r="L1862"/>
  <c r="K1862"/>
  <c r="H1862"/>
  <c r="M1861"/>
  <c r="L1861"/>
  <c r="K1861"/>
  <c r="H1861"/>
  <c r="M1860"/>
  <c r="L1860"/>
  <c r="K1860"/>
  <c r="H1860"/>
  <c r="M1859"/>
  <c r="L1859"/>
  <c r="K1859"/>
  <c r="H1859"/>
  <c r="M1858"/>
  <c r="L1858"/>
  <c r="K1858"/>
  <c r="H1858"/>
  <c r="M1857"/>
  <c r="L1857"/>
  <c r="K1857"/>
  <c r="H1857"/>
  <c r="M1856"/>
  <c r="L1856"/>
  <c r="K1856"/>
  <c r="H1856"/>
  <c r="M1855"/>
  <c r="L1855"/>
  <c r="K1855"/>
  <c r="H1855"/>
  <c r="M1854"/>
  <c r="L1854"/>
  <c r="K1854"/>
  <c r="H1854"/>
  <c r="M1853"/>
  <c r="L1853"/>
  <c r="K1853"/>
  <c r="H1853"/>
  <c r="M1852"/>
  <c r="L1852"/>
  <c r="K1852"/>
  <c r="H1852"/>
  <c r="M1851"/>
  <c r="L1851"/>
  <c r="K1851"/>
  <c r="H1851"/>
  <c r="M1850"/>
  <c r="L1850"/>
  <c r="K1850"/>
  <c r="H1850"/>
  <c r="M1849"/>
  <c r="L1849"/>
  <c r="K1849"/>
  <c r="H1849"/>
  <c r="M1848"/>
  <c r="L1848"/>
  <c r="K1848"/>
  <c r="H1848"/>
  <c r="M1847"/>
  <c r="L1847"/>
  <c r="K1847"/>
  <c r="H1847"/>
  <c r="M1846"/>
  <c r="L1846"/>
  <c r="K1846"/>
  <c r="H1846"/>
  <c r="M1845"/>
  <c r="L1845"/>
  <c r="K1845"/>
  <c r="H1845"/>
  <c r="M1844"/>
  <c r="L1844"/>
  <c r="K1844"/>
  <c r="H1844"/>
  <c r="M1843"/>
  <c r="L1843"/>
  <c r="K1843"/>
  <c r="H1843"/>
  <c r="M1842"/>
  <c r="L1842"/>
  <c r="K1842"/>
  <c r="H1842"/>
  <c r="M1841"/>
  <c r="L1841"/>
  <c r="K1841"/>
  <c r="H1841"/>
  <c r="M1840"/>
  <c r="L1840"/>
  <c r="K1840"/>
  <c r="H1840"/>
  <c r="M1839"/>
  <c r="L1839"/>
  <c r="K1839"/>
  <c r="H1839"/>
  <c r="M1838"/>
  <c r="L1838"/>
  <c r="K1838"/>
  <c r="H1838"/>
  <c r="M1837"/>
  <c r="L1837"/>
  <c r="K1837"/>
  <c r="H1837"/>
  <c r="M1836"/>
  <c r="L1836"/>
  <c r="K1836"/>
  <c r="H1836"/>
  <c r="M1835"/>
  <c r="L1835"/>
  <c r="K1835"/>
  <c r="H1835"/>
  <c r="M1834"/>
  <c r="L1834"/>
  <c r="K1834"/>
  <c r="H1834"/>
  <c r="M1833"/>
  <c r="L1833"/>
  <c r="K1833"/>
  <c r="H1833"/>
  <c r="M1832"/>
  <c r="L1832"/>
  <c r="K1832"/>
  <c r="H1832"/>
  <c r="M1831"/>
  <c r="L1831"/>
  <c r="K1831"/>
  <c r="H1831"/>
  <c r="M1830"/>
  <c r="L1830"/>
  <c r="K1830"/>
  <c r="H1830"/>
  <c r="M1829"/>
  <c r="L1829"/>
  <c r="K1829"/>
  <c r="H1829"/>
  <c r="M1828"/>
  <c r="L1828"/>
  <c r="K1828"/>
  <c r="H1828"/>
  <c r="M1827"/>
  <c r="L1827"/>
  <c r="K1827"/>
  <c r="H1827"/>
  <c r="M1826"/>
  <c r="L1826"/>
  <c r="K1826"/>
  <c r="H1826"/>
  <c r="M1825"/>
  <c r="L1825"/>
  <c r="K1825"/>
  <c r="H1825"/>
  <c r="M1824"/>
  <c r="L1824"/>
  <c r="K1824"/>
  <c r="H1824"/>
  <c r="M1823"/>
  <c r="L1823"/>
  <c r="K1823"/>
  <c r="H1823"/>
  <c r="M1822"/>
  <c r="L1822"/>
  <c r="K1822"/>
  <c r="H1822"/>
  <c r="M1821"/>
  <c r="L1821"/>
  <c r="K1821"/>
  <c r="H1821"/>
  <c r="M1820"/>
  <c r="L1820"/>
  <c r="K1820"/>
  <c r="H1820"/>
  <c r="M1819"/>
  <c r="L1819"/>
  <c r="K1819"/>
  <c r="H1819"/>
  <c r="M1818"/>
  <c r="L1818"/>
  <c r="K1818"/>
  <c r="H1818"/>
  <c r="M1817"/>
  <c r="L1817"/>
  <c r="K1817"/>
  <c r="H1817"/>
  <c r="M1816"/>
  <c r="L1816"/>
  <c r="K1816"/>
  <c r="H1816"/>
  <c r="M1815"/>
  <c r="L1815"/>
  <c r="K1815"/>
  <c r="H1815"/>
  <c r="M1814"/>
  <c r="L1814"/>
  <c r="K1814"/>
  <c r="H1814"/>
  <c r="M1813"/>
  <c r="L1813"/>
  <c r="K1813"/>
  <c r="H1813"/>
  <c r="M1812"/>
  <c r="L1812"/>
  <c r="K1812"/>
  <c r="H1812"/>
  <c r="M1811"/>
  <c r="L1811"/>
  <c r="K1811"/>
  <c r="H1811"/>
  <c r="M1810"/>
  <c r="L1810"/>
  <c r="K1810"/>
  <c r="H1810"/>
  <c r="M1809"/>
  <c r="L1809"/>
  <c r="K1809"/>
  <c r="H1809"/>
  <c r="M1808"/>
  <c r="L1808"/>
  <c r="K1808"/>
  <c r="H1808"/>
  <c r="M1807"/>
  <c r="L1807"/>
  <c r="K1807"/>
  <c r="H1807"/>
  <c r="M1806"/>
  <c r="L1806"/>
  <c r="K1806"/>
  <c r="H1806"/>
  <c r="M1805"/>
  <c r="L1805"/>
  <c r="K1805"/>
  <c r="H1805"/>
  <c r="M1804"/>
  <c r="L1804"/>
  <c r="K1804"/>
  <c r="H1804"/>
  <c r="M1803"/>
  <c r="L1803"/>
  <c r="K1803"/>
  <c r="H1803"/>
  <c r="M1802"/>
  <c r="L1802"/>
  <c r="K1802"/>
  <c r="H1802"/>
  <c r="M1801"/>
  <c r="L1801"/>
  <c r="K1801"/>
  <c r="H1801"/>
  <c r="M1800"/>
  <c r="L1800"/>
  <c r="K1800"/>
  <c r="H1800"/>
  <c r="M1799"/>
  <c r="L1799"/>
  <c r="K1799"/>
  <c r="H1799"/>
  <c r="M1798"/>
  <c r="L1798"/>
  <c r="K1798"/>
  <c r="H1798"/>
  <c r="M1797"/>
  <c r="L1797"/>
  <c r="K1797"/>
  <c r="H1797"/>
  <c r="M1796"/>
  <c r="L1796"/>
  <c r="K1796"/>
  <c r="H1796"/>
  <c r="M1795"/>
  <c r="L1795"/>
  <c r="K1795"/>
  <c r="H1795"/>
  <c r="M1794"/>
  <c r="L1794"/>
  <c r="K1794"/>
  <c r="H1794"/>
  <c r="M1793"/>
  <c r="L1793"/>
  <c r="K1793"/>
  <c r="H1793"/>
  <c r="M1792"/>
  <c r="L1792"/>
  <c r="K1792"/>
  <c r="H1792"/>
  <c r="M1791"/>
  <c r="L1791"/>
  <c r="K1791"/>
  <c r="H1791"/>
  <c r="M1790"/>
  <c r="L1790"/>
  <c r="K1790"/>
  <c r="H1790"/>
  <c r="M1789"/>
  <c r="L1789"/>
  <c r="K1789"/>
  <c r="H1789"/>
  <c r="M1788"/>
  <c r="L1788"/>
  <c r="K1788"/>
  <c r="H1788"/>
  <c r="M1787"/>
  <c r="L1787"/>
  <c r="K1787"/>
  <c r="H1787"/>
  <c r="M1786"/>
  <c r="L1786"/>
  <c r="K1786"/>
  <c r="H1786"/>
  <c r="M1785"/>
  <c r="L1785"/>
  <c r="K1785"/>
  <c r="H1785"/>
  <c r="M1784"/>
  <c r="L1784"/>
  <c r="K1784"/>
  <c r="H1784"/>
  <c r="M1783"/>
  <c r="L1783"/>
  <c r="K1783"/>
  <c r="H1783"/>
  <c r="M1782"/>
  <c r="L1782"/>
  <c r="K1782"/>
  <c r="H1782"/>
  <c r="M1781"/>
  <c r="L1781"/>
  <c r="K1781"/>
  <c r="H1781"/>
  <c r="M1780"/>
  <c r="L1780"/>
  <c r="K1780"/>
  <c r="H1780"/>
  <c r="M1779"/>
  <c r="L1779"/>
  <c r="K1779"/>
  <c r="H1779"/>
  <c r="M1778"/>
  <c r="L1778"/>
  <c r="K1778"/>
  <c r="H1778"/>
  <c r="M1777"/>
  <c r="L1777"/>
  <c r="K1777"/>
  <c r="H1777"/>
  <c r="M1776"/>
  <c r="L1776"/>
  <c r="K1776"/>
  <c r="H1776"/>
  <c r="M1775"/>
  <c r="L1775"/>
  <c r="K1775"/>
  <c r="H1775"/>
  <c r="M1774"/>
  <c r="L1774"/>
  <c r="K1774"/>
  <c r="H1774"/>
  <c r="M1773"/>
  <c r="L1773"/>
  <c r="K1773"/>
  <c r="H1773"/>
  <c r="M1772"/>
  <c r="L1772"/>
  <c r="K1772"/>
  <c r="H1772"/>
  <c r="M1771"/>
  <c r="L1771"/>
  <c r="K1771"/>
  <c r="H1771"/>
  <c r="M1770"/>
  <c r="L1770"/>
  <c r="K1770"/>
  <c r="H1770"/>
  <c r="M1769"/>
  <c r="L1769"/>
  <c r="K1769"/>
  <c r="H1769"/>
  <c r="M1768"/>
  <c r="L1768"/>
  <c r="K1768"/>
  <c r="H1768"/>
  <c r="M1767"/>
  <c r="L1767"/>
  <c r="K1767"/>
  <c r="H1767"/>
  <c r="M1766"/>
  <c r="L1766"/>
  <c r="K1766"/>
  <c r="H1766"/>
  <c r="M1765"/>
  <c r="L1765"/>
  <c r="K1765"/>
  <c r="H1765"/>
  <c r="M1764"/>
  <c r="L1764"/>
  <c r="K1764"/>
  <c r="H1764"/>
  <c r="M1763"/>
  <c r="L1763"/>
  <c r="K1763"/>
  <c r="H1763"/>
  <c r="M1762"/>
  <c r="L1762"/>
  <c r="K1762"/>
  <c r="H1762"/>
  <c r="M1761"/>
  <c r="L1761"/>
  <c r="K1761"/>
  <c r="H1761"/>
  <c r="M1760"/>
  <c r="L1760"/>
  <c r="K1760"/>
  <c r="H1760"/>
  <c r="M1759"/>
  <c r="L1759"/>
  <c r="K1759"/>
  <c r="H1759"/>
  <c r="M1758"/>
  <c r="L1758"/>
  <c r="K1758"/>
  <c r="H1758"/>
  <c r="M1757"/>
  <c r="L1757"/>
  <c r="K1757"/>
  <c r="H1757"/>
  <c r="M1756"/>
  <c r="L1756"/>
  <c r="K1756"/>
  <c r="H1756"/>
  <c r="M1755"/>
  <c r="L1755"/>
  <c r="K1755"/>
  <c r="H1755"/>
  <c r="M1754"/>
  <c r="L1754"/>
  <c r="K1754"/>
  <c r="H1754"/>
  <c r="M1753"/>
  <c r="L1753"/>
  <c r="K1753"/>
  <c r="H1753"/>
  <c r="M1752"/>
  <c r="L1752"/>
  <c r="K1752"/>
  <c r="H1752"/>
  <c r="M1751"/>
  <c r="L1751"/>
  <c r="K1751"/>
  <c r="H1751"/>
  <c r="M1750"/>
  <c r="L1750"/>
  <c r="K1750"/>
  <c r="H1750"/>
  <c r="M1749"/>
  <c r="L1749"/>
  <c r="K1749"/>
  <c r="H1749"/>
  <c r="M1748"/>
  <c r="L1748"/>
  <c r="K1748"/>
  <c r="H1748"/>
  <c r="M1747"/>
  <c r="L1747"/>
  <c r="K1747"/>
  <c r="H1747"/>
  <c r="M1746"/>
  <c r="L1746"/>
  <c r="K1746"/>
  <c r="H1746"/>
  <c r="M1745"/>
  <c r="L1745"/>
  <c r="K1745"/>
  <c r="H1745"/>
  <c r="M1744"/>
  <c r="L1744"/>
  <c r="K1744"/>
  <c r="H1744"/>
  <c r="M1743"/>
  <c r="L1743"/>
  <c r="K1743"/>
  <c r="H1743"/>
  <c r="M1742"/>
  <c r="L1742"/>
  <c r="K1742"/>
  <c r="H1742"/>
  <c r="M1741"/>
  <c r="L1741"/>
  <c r="K1741"/>
  <c r="H1741"/>
  <c r="M1740"/>
  <c r="L1740"/>
  <c r="K1740"/>
  <c r="H1740"/>
  <c r="M1739"/>
  <c r="L1739"/>
  <c r="K1739"/>
  <c r="H1739"/>
  <c r="M1738"/>
  <c r="L1738"/>
  <c r="K1738"/>
  <c r="H1738"/>
  <c r="M1737"/>
  <c r="L1737"/>
  <c r="K1737"/>
  <c r="H1737"/>
  <c r="M1736"/>
  <c r="L1736"/>
  <c r="K1736"/>
  <c r="H1736"/>
  <c r="M1735"/>
  <c r="L1735"/>
  <c r="K1735"/>
  <c r="H1735"/>
  <c r="M1734"/>
  <c r="L1734"/>
  <c r="K1734"/>
  <c r="H1734"/>
  <c r="M1733"/>
  <c r="L1733"/>
  <c r="K1733"/>
  <c r="H1733"/>
  <c r="M1732"/>
  <c r="L1732"/>
  <c r="K1732"/>
  <c r="H1732"/>
  <c r="M1731"/>
  <c r="L1731"/>
  <c r="K1731"/>
  <c r="H1731"/>
  <c r="M1730"/>
  <c r="L1730"/>
  <c r="K1730"/>
  <c r="H1730"/>
  <c r="M1729"/>
  <c r="L1729"/>
  <c r="K1729"/>
  <c r="H1729"/>
  <c r="M1728"/>
  <c r="L1728"/>
  <c r="K1728"/>
  <c r="H1728"/>
  <c r="M1727"/>
  <c r="L1727"/>
  <c r="K1727"/>
  <c r="H1727"/>
  <c r="M1726"/>
  <c r="L1726"/>
  <c r="K1726"/>
  <c r="H1726"/>
  <c r="M1725"/>
  <c r="L1725"/>
  <c r="K1725"/>
  <c r="H1725"/>
  <c r="M1724"/>
  <c r="L1724"/>
  <c r="K1724"/>
  <c r="H1724"/>
  <c r="M1723"/>
  <c r="L1723"/>
  <c r="K1723"/>
  <c r="H1723"/>
  <c r="M1722"/>
  <c r="L1722"/>
  <c r="K1722"/>
  <c r="H1722"/>
  <c r="M1721"/>
  <c r="L1721"/>
  <c r="K1721"/>
  <c r="H1721"/>
  <c r="M1720"/>
  <c r="L1720"/>
  <c r="K1720"/>
  <c r="H1720"/>
  <c r="M1719"/>
  <c r="L1719"/>
  <c r="K1719"/>
  <c r="H1719"/>
  <c r="M1718"/>
  <c r="L1718"/>
  <c r="K1718"/>
  <c r="H1718"/>
  <c r="M1717"/>
  <c r="L1717"/>
  <c r="K1717"/>
  <c r="H1717"/>
  <c r="M1716"/>
  <c r="L1716"/>
  <c r="K1716"/>
  <c r="H1716"/>
  <c r="M1715"/>
  <c r="L1715"/>
  <c r="K1715"/>
  <c r="H1715"/>
  <c r="M1714"/>
  <c r="L1714"/>
  <c r="K1714"/>
  <c r="H1714"/>
  <c r="M1713"/>
  <c r="L1713"/>
  <c r="K1713"/>
  <c r="H1713"/>
  <c r="M1712"/>
  <c r="L1712"/>
  <c r="K1712"/>
  <c r="H1712"/>
  <c r="M1711"/>
  <c r="L1711"/>
  <c r="K1711"/>
  <c r="H1711"/>
  <c r="M1710"/>
  <c r="L1710"/>
  <c r="K1710"/>
  <c r="H1710"/>
  <c r="M1709"/>
  <c r="L1709"/>
  <c r="K1709"/>
  <c r="H1709"/>
  <c r="M1708"/>
  <c r="L1708"/>
  <c r="K1708"/>
  <c r="H1708"/>
  <c r="M1707"/>
  <c r="L1707"/>
  <c r="K1707"/>
  <c r="H1707"/>
  <c r="M1706"/>
  <c r="L1706"/>
  <c r="K1706"/>
  <c r="H1706"/>
  <c r="M1705"/>
  <c r="L1705"/>
  <c r="K1705"/>
  <c r="H1705"/>
  <c r="M1704"/>
  <c r="L1704"/>
  <c r="K1704"/>
  <c r="H1704"/>
  <c r="M1703"/>
  <c r="L1703"/>
  <c r="K1703"/>
  <c r="H1703"/>
  <c r="M1702"/>
  <c r="L1702"/>
  <c r="K1702"/>
  <c r="H1702"/>
  <c r="M1701"/>
  <c r="L1701"/>
  <c r="K1701"/>
  <c r="H1701"/>
  <c r="M1700"/>
  <c r="L1700"/>
  <c r="K1700"/>
  <c r="H1700"/>
  <c r="M1699"/>
  <c r="L1699"/>
  <c r="K1699"/>
  <c r="H1699"/>
  <c r="M1698"/>
  <c r="L1698"/>
  <c r="K1698"/>
  <c r="H1698"/>
  <c r="M1697"/>
  <c r="L1697"/>
  <c r="K1697"/>
  <c r="H1697"/>
  <c r="M1696"/>
  <c r="L1696"/>
  <c r="K1696"/>
  <c r="H1696"/>
  <c r="M1695"/>
  <c r="L1695"/>
  <c r="K1695"/>
  <c r="H1695"/>
  <c r="M1694"/>
  <c r="L1694"/>
  <c r="K1694"/>
  <c r="H1694"/>
  <c r="M1693"/>
  <c r="L1693"/>
  <c r="K1693"/>
  <c r="H1693"/>
  <c r="M1692"/>
  <c r="L1692"/>
  <c r="K1692"/>
  <c r="H1692"/>
  <c r="M1691"/>
  <c r="L1691"/>
  <c r="K1691"/>
  <c r="H1691"/>
  <c r="M1690"/>
  <c r="L1690"/>
  <c r="K1690"/>
  <c r="H1690"/>
  <c r="M1689"/>
  <c r="L1689"/>
  <c r="K1689"/>
  <c r="H1689"/>
  <c r="M1688"/>
  <c r="L1688"/>
  <c r="K1688"/>
  <c r="H1688"/>
  <c r="M1687"/>
  <c r="L1687"/>
  <c r="K1687"/>
  <c r="H1687"/>
  <c r="M1686"/>
  <c r="L1686"/>
  <c r="K1686"/>
  <c r="H1686"/>
  <c r="M1685"/>
  <c r="L1685"/>
  <c r="K1685"/>
  <c r="H1685"/>
  <c r="M1684"/>
  <c r="L1684"/>
  <c r="K1684"/>
  <c r="H1684"/>
  <c r="M1683"/>
  <c r="L1683"/>
  <c r="K1683"/>
  <c r="H1683"/>
  <c r="M1682"/>
  <c r="L1682"/>
  <c r="K1682"/>
  <c r="H1682"/>
  <c r="M1681"/>
  <c r="L1681"/>
  <c r="K1681"/>
  <c r="H1681"/>
  <c r="M1680"/>
  <c r="L1680"/>
  <c r="K1680"/>
  <c r="H1680"/>
  <c r="M1679"/>
  <c r="L1679"/>
  <c r="K1679"/>
  <c r="H1679"/>
  <c r="M1678"/>
  <c r="L1678"/>
  <c r="K1678"/>
  <c r="H1678"/>
  <c r="M1677"/>
  <c r="L1677"/>
  <c r="K1677"/>
  <c r="H1677"/>
  <c r="M1676"/>
  <c r="L1676"/>
  <c r="K1676"/>
  <c r="H1676"/>
  <c r="M1675"/>
  <c r="L1675"/>
  <c r="K1675"/>
  <c r="H1675"/>
  <c r="M1674"/>
  <c r="L1674"/>
  <c r="K1674"/>
  <c r="H1674"/>
  <c r="M1673"/>
  <c r="L1673"/>
  <c r="K1673"/>
  <c r="H1673"/>
  <c r="M1672"/>
  <c r="L1672"/>
  <c r="K1672"/>
  <c r="H1672"/>
  <c r="M1671"/>
  <c r="L1671"/>
  <c r="K1671"/>
  <c r="H1671"/>
  <c r="M1670"/>
  <c r="L1670"/>
  <c r="K1670"/>
  <c r="H1670"/>
  <c r="M1669"/>
  <c r="L1669"/>
  <c r="K1669"/>
  <c r="H1669"/>
  <c r="M1668"/>
  <c r="L1668"/>
  <c r="K1668"/>
  <c r="H1668"/>
  <c r="M1667"/>
  <c r="L1667"/>
  <c r="K1667"/>
  <c r="H1667"/>
  <c r="M1666"/>
  <c r="L1666"/>
  <c r="K1666"/>
  <c r="H1666"/>
  <c r="M1665"/>
  <c r="L1665"/>
  <c r="K1665"/>
  <c r="H1665"/>
  <c r="M1664"/>
  <c r="L1664"/>
  <c r="K1664"/>
  <c r="H1664"/>
  <c r="M1663"/>
  <c r="L1663"/>
  <c r="K1663"/>
  <c r="H1663"/>
  <c r="M1662"/>
  <c r="L1662"/>
  <c r="K1662"/>
  <c r="H1662"/>
  <c r="M1661"/>
  <c r="L1661"/>
  <c r="K1661"/>
  <c r="H1661"/>
  <c r="M1660"/>
  <c r="L1660"/>
  <c r="K1660"/>
  <c r="H1660"/>
  <c r="M1659"/>
  <c r="L1659"/>
  <c r="K1659"/>
  <c r="H1659"/>
  <c r="M1658"/>
  <c r="L1658"/>
  <c r="K1658"/>
  <c r="H1658"/>
  <c r="M1657"/>
  <c r="L1657"/>
  <c r="K1657"/>
  <c r="H1657"/>
  <c r="M1656"/>
  <c r="L1656"/>
  <c r="K1656"/>
  <c r="H1656"/>
  <c r="M1655"/>
  <c r="L1655"/>
  <c r="K1655"/>
  <c r="H1655"/>
  <c r="M1654"/>
  <c r="L1654"/>
  <c r="K1654"/>
  <c r="H1654"/>
  <c r="M1653"/>
  <c r="L1653"/>
  <c r="K1653"/>
  <c r="H1653"/>
  <c r="M1652"/>
  <c r="L1652"/>
  <c r="K1652"/>
  <c r="H1652"/>
  <c r="M1651"/>
  <c r="L1651"/>
  <c r="K1651"/>
  <c r="H1651"/>
  <c r="M1650"/>
  <c r="L1650"/>
  <c r="K1650"/>
  <c r="H1650"/>
  <c r="M1649"/>
  <c r="L1649"/>
  <c r="K1649"/>
  <c r="H1649"/>
  <c r="M1648"/>
  <c r="L1648"/>
  <c r="K1648"/>
  <c r="H1648"/>
  <c r="M1647"/>
  <c r="L1647"/>
  <c r="K1647"/>
  <c r="H1647"/>
  <c r="M1646"/>
  <c r="L1646"/>
  <c r="K1646"/>
  <c r="H1646"/>
  <c r="M1645"/>
  <c r="L1645"/>
  <c r="K1645"/>
  <c r="H1645"/>
  <c r="M1644"/>
  <c r="L1644"/>
  <c r="K1644"/>
  <c r="H1644"/>
  <c r="M1643"/>
  <c r="L1643"/>
  <c r="K1643"/>
  <c r="H1643"/>
  <c r="M1642"/>
  <c r="L1642"/>
  <c r="K1642"/>
  <c r="H1642"/>
  <c r="M1641"/>
  <c r="L1641"/>
  <c r="K1641"/>
  <c r="H1641"/>
  <c r="M1640"/>
  <c r="L1640"/>
  <c r="K1640"/>
  <c r="H1640"/>
  <c r="M1639"/>
  <c r="L1639"/>
  <c r="K1639"/>
  <c r="H1639"/>
  <c r="M1638"/>
  <c r="L1638"/>
  <c r="K1638"/>
  <c r="H1638"/>
  <c r="M1637"/>
  <c r="L1637"/>
  <c r="K1637"/>
  <c r="H1637"/>
  <c r="M1636"/>
  <c r="L1636"/>
  <c r="K1636"/>
  <c r="H1636"/>
  <c r="M1635"/>
  <c r="L1635"/>
  <c r="K1635"/>
  <c r="H1635"/>
  <c r="M1634"/>
  <c r="L1634"/>
  <c r="K1634"/>
  <c r="H1634"/>
  <c r="M1633"/>
  <c r="L1633"/>
  <c r="K1633"/>
  <c r="H1633"/>
  <c r="M1632"/>
  <c r="L1632"/>
  <c r="K1632"/>
  <c r="H1632"/>
  <c r="M1631"/>
  <c r="L1631"/>
  <c r="K1631"/>
  <c r="H1631"/>
  <c r="M1630"/>
  <c r="L1630"/>
  <c r="K1630"/>
  <c r="H1630"/>
  <c r="M1629"/>
  <c r="L1629"/>
  <c r="K1629"/>
  <c r="H1629"/>
  <c r="M1628"/>
  <c r="L1628"/>
  <c r="K1628"/>
  <c r="H1628"/>
  <c r="M1627"/>
  <c r="L1627"/>
  <c r="K1627"/>
  <c r="H1627"/>
  <c r="M1626"/>
  <c r="L1626"/>
  <c r="K1626"/>
  <c r="H1626"/>
  <c r="M1625"/>
  <c r="L1625"/>
  <c r="K1625"/>
  <c r="H1625"/>
  <c r="M1624"/>
  <c r="L1624"/>
  <c r="K1624"/>
  <c r="H1624"/>
  <c r="M1623"/>
  <c r="L1623"/>
  <c r="K1623"/>
  <c r="H1623"/>
  <c r="M1622"/>
  <c r="L1622"/>
  <c r="K1622"/>
  <c r="H1622"/>
  <c r="M1621"/>
  <c r="L1621"/>
  <c r="K1621"/>
  <c r="H1621"/>
  <c r="M1620"/>
  <c r="L1620"/>
  <c r="K1620"/>
  <c r="H1620"/>
  <c r="M1619"/>
  <c r="L1619"/>
  <c r="K1619"/>
  <c r="H1619"/>
  <c r="M1618"/>
  <c r="L1618"/>
  <c r="K1618"/>
  <c r="H1618"/>
  <c r="M1617"/>
  <c r="L1617"/>
  <c r="K1617"/>
  <c r="H1617"/>
  <c r="M1616"/>
  <c r="L1616"/>
  <c r="K1616"/>
  <c r="H1616"/>
  <c r="M1615"/>
  <c r="L1615"/>
  <c r="K1615"/>
  <c r="H1615"/>
  <c r="M1614"/>
  <c r="L1614"/>
  <c r="K1614"/>
  <c r="H1614"/>
  <c r="M1613"/>
  <c r="L1613"/>
  <c r="K1613"/>
  <c r="H1613"/>
  <c r="M1612"/>
  <c r="L1612"/>
  <c r="K1612"/>
  <c r="H1612"/>
  <c r="M1611"/>
  <c r="L1611"/>
  <c r="K1611"/>
  <c r="H1611"/>
  <c r="M1610"/>
  <c r="L1610"/>
  <c r="K1610"/>
  <c r="H1610"/>
  <c r="M1609"/>
  <c r="L1609"/>
  <c r="K1609"/>
  <c r="H1609"/>
  <c r="M1608"/>
  <c r="L1608"/>
  <c r="K1608"/>
  <c r="H1608"/>
  <c r="M1607"/>
  <c r="L1607"/>
  <c r="K1607"/>
  <c r="H1607"/>
  <c r="M1606"/>
  <c r="L1606"/>
  <c r="K1606"/>
  <c r="H1606"/>
  <c r="M1605"/>
  <c r="L1605"/>
  <c r="K1605"/>
  <c r="H1605"/>
  <c r="M1604"/>
  <c r="L1604"/>
  <c r="K1604"/>
  <c r="H1604"/>
  <c r="M1603"/>
  <c r="L1603"/>
  <c r="K1603"/>
  <c r="H1603"/>
  <c r="M1602"/>
  <c r="L1602"/>
  <c r="K1602"/>
  <c r="H1602"/>
  <c r="M1601"/>
  <c r="L1601"/>
  <c r="K1601"/>
  <c r="H1601"/>
  <c r="M1600"/>
  <c r="L1600"/>
  <c r="K1600"/>
  <c r="H1600"/>
  <c r="M1599"/>
  <c r="L1599"/>
  <c r="K1599"/>
  <c r="H1599"/>
  <c r="M1598"/>
  <c r="L1598"/>
  <c r="K1598"/>
  <c r="H1598"/>
  <c r="M1597"/>
  <c r="L1597"/>
  <c r="K1597"/>
  <c r="H1597"/>
  <c r="M1596"/>
  <c r="L1596"/>
  <c r="K1596"/>
  <c r="H1596"/>
  <c r="M1595"/>
  <c r="L1595"/>
  <c r="K1595"/>
  <c r="H1595"/>
  <c r="M1594"/>
  <c r="L1594"/>
  <c r="K1594"/>
  <c r="H1594"/>
  <c r="M1593"/>
  <c r="L1593"/>
  <c r="K1593"/>
  <c r="H1593"/>
  <c r="M1592"/>
  <c r="L1592"/>
  <c r="K1592"/>
  <c r="H1592"/>
  <c r="M1591"/>
  <c r="L1591"/>
  <c r="K1591"/>
  <c r="H1591"/>
  <c r="M1590"/>
  <c r="L1590"/>
  <c r="K1590"/>
  <c r="H1590"/>
  <c r="M1589"/>
  <c r="L1589"/>
  <c r="K1589"/>
  <c r="H1589"/>
  <c r="M1588"/>
  <c r="L1588"/>
  <c r="K1588"/>
  <c r="H1588"/>
  <c r="M1587"/>
  <c r="L1587"/>
  <c r="K1587"/>
  <c r="H1587"/>
  <c r="M1586"/>
  <c r="L1586"/>
  <c r="K1586"/>
  <c r="H1586"/>
  <c r="M1585"/>
  <c r="L1585"/>
  <c r="K1585"/>
  <c r="H1585"/>
  <c r="M1584"/>
  <c r="L1584"/>
  <c r="K1584"/>
  <c r="H1584"/>
  <c r="M1583"/>
  <c r="L1583"/>
  <c r="K1583"/>
  <c r="H1583"/>
  <c r="M1582"/>
  <c r="L1582"/>
  <c r="K1582"/>
  <c r="H1582"/>
  <c r="M1581"/>
  <c r="L1581"/>
  <c r="K1581"/>
  <c r="H1581"/>
  <c r="M1580"/>
  <c r="L1580"/>
  <c r="K1580"/>
  <c r="H1580"/>
  <c r="M1579"/>
  <c r="L1579"/>
  <c r="K1579"/>
  <c r="H1579"/>
  <c r="M1578"/>
  <c r="L1578"/>
  <c r="K1578"/>
  <c r="H1578"/>
  <c r="M1577"/>
  <c r="L1577"/>
  <c r="K1577"/>
  <c r="H1577"/>
  <c r="M1576"/>
  <c r="L1576"/>
  <c r="K1576"/>
  <c r="H1576"/>
  <c r="M1575"/>
  <c r="L1575"/>
  <c r="K1575"/>
  <c r="H1575"/>
  <c r="M1574"/>
  <c r="L1574"/>
  <c r="K1574"/>
  <c r="H1574"/>
  <c r="M1573"/>
  <c r="L1573"/>
  <c r="K1573"/>
  <c r="H1573"/>
  <c r="M1572"/>
  <c r="L1572"/>
  <c r="K1572"/>
  <c r="H1572"/>
  <c r="M1571"/>
  <c r="L1571"/>
  <c r="K1571"/>
  <c r="H1571"/>
  <c r="M1570"/>
  <c r="L1570"/>
  <c r="K1570"/>
  <c r="H1570"/>
  <c r="M1569"/>
  <c r="L1569"/>
  <c r="K1569"/>
  <c r="H1569"/>
  <c r="M1568"/>
  <c r="L1568"/>
  <c r="K1568"/>
  <c r="H1568"/>
  <c r="M1567"/>
  <c r="L1567"/>
  <c r="K1567"/>
  <c r="H1567"/>
  <c r="M1566"/>
  <c r="L1566"/>
  <c r="K1566"/>
  <c r="H1566"/>
  <c r="M1565"/>
  <c r="L1565"/>
  <c r="K1565"/>
  <c r="H1565"/>
  <c r="M1564"/>
  <c r="L1564"/>
  <c r="K1564"/>
  <c r="H1564"/>
  <c r="M1563"/>
  <c r="L1563"/>
  <c r="K1563"/>
  <c r="H1563"/>
  <c r="M1562"/>
  <c r="L1562"/>
  <c r="K1562"/>
  <c r="H1562"/>
  <c r="M1561"/>
  <c r="L1561"/>
  <c r="K1561"/>
  <c r="H1561"/>
  <c r="M1560"/>
  <c r="L1560"/>
  <c r="K1560"/>
  <c r="H1560"/>
  <c r="M1559"/>
  <c r="L1559"/>
  <c r="K1559"/>
  <c r="H1559"/>
  <c r="M1558"/>
  <c r="L1558"/>
  <c r="K1558"/>
  <c r="H1558"/>
  <c r="M1557"/>
  <c r="L1557"/>
  <c r="K1557"/>
  <c r="H1557"/>
  <c r="M1556"/>
  <c r="L1556"/>
  <c r="K1556"/>
  <c r="H1556"/>
  <c r="M1555"/>
  <c r="L1555"/>
  <c r="K1555"/>
  <c r="H1555"/>
  <c r="M1554"/>
  <c r="L1554"/>
  <c r="K1554"/>
  <c r="H1554"/>
  <c r="M1553"/>
  <c r="L1553"/>
  <c r="K1553"/>
  <c r="H1553"/>
  <c r="M1552"/>
  <c r="L1552"/>
  <c r="K1552"/>
  <c r="H1552"/>
  <c r="M1551"/>
  <c r="L1551"/>
  <c r="K1551"/>
  <c r="H1551"/>
  <c r="M1550"/>
  <c r="L1550"/>
  <c r="K1550"/>
  <c r="H1550"/>
  <c r="M1549"/>
  <c r="L1549"/>
  <c r="K1549"/>
  <c r="H1549"/>
  <c r="M1548"/>
  <c r="L1548"/>
  <c r="K1548"/>
  <c r="H1548"/>
  <c r="M1547"/>
  <c r="L1547"/>
  <c r="K1547"/>
  <c r="H1547"/>
  <c r="M1546"/>
  <c r="L1546"/>
  <c r="K1546"/>
  <c r="H1546"/>
  <c r="M1545"/>
  <c r="L1545"/>
  <c r="K1545"/>
  <c r="H1545"/>
  <c r="M1544"/>
  <c r="L1544"/>
  <c r="K1544"/>
  <c r="H1544"/>
  <c r="M1543"/>
  <c r="L1543"/>
  <c r="K1543"/>
  <c r="H1543"/>
  <c r="M1542"/>
  <c r="L1542"/>
  <c r="K1542"/>
  <c r="H1542"/>
  <c r="M1541"/>
  <c r="L1541"/>
  <c r="K1541"/>
  <c r="H1541"/>
  <c r="M1540"/>
  <c r="L1540"/>
  <c r="K1540"/>
  <c r="H1540"/>
  <c r="M1539"/>
  <c r="L1539"/>
  <c r="K1539"/>
  <c r="H1539"/>
  <c r="M1538"/>
  <c r="L1538"/>
  <c r="K1538"/>
  <c r="H1538"/>
  <c r="M1537"/>
  <c r="L1537"/>
  <c r="K1537"/>
  <c r="H1537"/>
  <c r="M1536"/>
  <c r="L1536"/>
  <c r="K1536"/>
  <c r="H1536"/>
  <c r="M1535"/>
  <c r="L1535"/>
  <c r="K1535"/>
  <c r="H1535"/>
  <c r="M1534"/>
  <c r="L1534"/>
  <c r="K1534"/>
  <c r="H1534"/>
  <c r="M1533"/>
  <c r="L1533"/>
  <c r="K1533"/>
  <c r="H1533"/>
  <c r="M1532"/>
  <c r="L1532"/>
  <c r="K1532"/>
  <c r="H1532"/>
  <c r="M1531"/>
  <c r="L1531"/>
  <c r="K1531"/>
  <c r="H1531"/>
  <c r="M1530"/>
  <c r="L1530"/>
  <c r="K1530"/>
  <c r="H1530"/>
  <c r="M1529"/>
  <c r="L1529"/>
  <c r="K1529"/>
  <c r="H1529"/>
  <c r="M1528"/>
  <c r="L1528"/>
  <c r="K1528"/>
  <c r="H1528"/>
  <c r="M1527"/>
  <c r="L1527"/>
  <c r="K1527"/>
  <c r="H1527"/>
  <c r="M1526"/>
  <c r="L1526"/>
  <c r="K1526"/>
  <c r="H1526"/>
  <c r="M1525"/>
  <c r="L1525"/>
  <c r="K1525"/>
  <c r="H1525"/>
  <c r="M1524"/>
  <c r="L1524"/>
  <c r="K1524"/>
  <c r="H1524"/>
  <c r="M1523"/>
  <c r="L1523"/>
  <c r="K1523"/>
  <c r="H1523"/>
  <c r="M1522"/>
  <c r="L1522"/>
  <c r="K1522"/>
  <c r="H1522"/>
  <c r="M1521"/>
  <c r="L1521"/>
  <c r="K1521"/>
  <c r="H1521"/>
  <c r="M1520"/>
  <c r="L1520"/>
  <c r="K1520"/>
  <c r="H1520"/>
  <c r="M1519"/>
  <c r="L1519"/>
  <c r="K1519"/>
  <c r="H1519"/>
  <c r="M1518"/>
  <c r="L1518"/>
  <c r="K1518"/>
  <c r="H1518"/>
  <c r="M1517"/>
  <c r="L1517"/>
  <c r="K1517"/>
  <c r="H1517"/>
  <c r="M1516"/>
  <c r="L1516"/>
  <c r="K1516"/>
  <c r="H1516"/>
  <c r="M1515"/>
  <c r="L1515"/>
  <c r="K1515"/>
  <c r="H1515"/>
  <c r="M1514"/>
  <c r="L1514"/>
  <c r="K1514"/>
  <c r="H1514"/>
  <c r="M1513"/>
  <c r="L1513"/>
  <c r="K1513"/>
  <c r="H1513"/>
  <c r="M1512"/>
  <c r="L1512"/>
  <c r="K1512"/>
  <c r="H1512"/>
  <c r="M1511"/>
  <c r="L1511"/>
  <c r="K1511"/>
  <c r="H1511"/>
  <c r="M1510"/>
  <c r="L1510"/>
  <c r="K1510"/>
  <c r="H1510"/>
  <c r="M1509"/>
  <c r="L1509"/>
  <c r="K1509"/>
  <c r="H1509"/>
  <c r="M1508"/>
  <c r="L1508"/>
  <c r="K1508"/>
  <c r="H1508"/>
  <c r="M1507"/>
  <c r="L1507"/>
  <c r="K1507"/>
  <c r="H1507"/>
  <c r="M1506"/>
  <c r="L1506"/>
  <c r="K1506"/>
  <c r="H1506"/>
  <c r="M1505"/>
  <c r="L1505"/>
  <c r="K1505"/>
  <c r="H1505"/>
  <c r="M1504"/>
  <c r="L1504"/>
  <c r="K1504"/>
  <c r="H1504"/>
  <c r="M1503"/>
  <c r="L1503"/>
  <c r="K1503"/>
  <c r="H1503"/>
  <c r="M1502"/>
  <c r="L1502"/>
  <c r="K1502"/>
  <c r="H1502"/>
  <c r="M1501"/>
  <c r="L1501"/>
  <c r="K1501"/>
  <c r="H1501"/>
  <c r="M1500"/>
  <c r="L1500"/>
  <c r="K1500"/>
  <c r="H1500"/>
  <c r="M1499"/>
  <c r="L1499"/>
  <c r="K1499"/>
  <c r="H1499"/>
  <c r="M1498"/>
  <c r="L1498"/>
  <c r="K1498"/>
  <c r="H1498"/>
  <c r="M1497"/>
  <c r="L1497"/>
  <c r="K1497"/>
  <c r="H1497"/>
  <c r="M1496"/>
  <c r="L1496"/>
  <c r="K1496"/>
  <c r="H1496"/>
  <c r="M1495"/>
  <c r="L1495"/>
  <c r="K1495"/>
  <c r="H1495"/>
  <c r="M1494"/>
  <c r="L1494"/>
  <c r="K1494"/>
  <c r="H1494"/>
  <c r="M1493"/>
  <c r="L1493"/>
  <c r="K1493"/>
  <c r="H1493"/>
  <c r="M1492"/>
  <c r="L1492"/>
  <c r="K1492"/>
  <c r="H1492"/>
  <c r="M1491"/>
  <c r="L1491"/>
  <c r="K1491"/>
  <c r="H1491"/>
  <c r="M1490"/>
  <c r="L1490"/>
  <c r="K1490"/>
  <c r="H1490"/>
  <c r="M1489"/>
  <c r="L1489"/>
  <c r="K1489"/>
  <c r="H1489"/>
  <c r="M1488"/>
  <c r="L1488"/>
  <c r="K1488"/>
  <c r="H1488"/>
  <c r="M1487"/>
  <c r="L1487"/>
  <c r="K1487"/>
  <c r="H1487"/>
  <c r="M1486"/>
  <c r="L1486"/>
  <c r="K1486"/>
  <c r="H1486"/>
  <c r="M1485"/>
  <c r="L1485"/>
  <c r="K1485"/>
  <c r="H1485"/>
  <c r="M1484"/>
  <c r="L1484"/>
  <c r="K1484"/>
  <c r="H1484"/>
  <c r="M1483"/>
  <c r="L1483"/>
  <c r="K1483"/>
  <c r="H1483"/>
  <c r="M1482"/>
  <c r="L1482"/>
  <c r="K1482"/>
  <c r="H1482"/>
  <c r="M1481"/>
  <c r="L1481"/>
  <c r="K1481"/>
  <c r="H1481"/>
  <c r="M1480"/>
  <c r="L1480"/>
  <c r="K1480"/>
  <c r="H1480"/>
  <c r="M1479"/>
  <c r="L1479"/>
  <c r="K1479"/>
  <c r="H1479"/>
  <c r="M1478"/>
  <c r="L1478"/>
  <c r="K1478"/>
  <c r="H1478"/>
  <c r="M1477"/>
  <c r="L1477"/>
  <c r="K1477"/>
  <c r="H1477"/>
  <c r="M1476"/>
  <c r="L1476"/>
  <c r="K1476"/>
  <c r="H1476"/>
  <c r="M1475"/>
  <c r="L1475"/>
  <c r="K1475"/>
  <c r="H1475"/>
  <c r="M1474"/>
  <c r="L1474"/>
  <c r="K1474"/>
  <c r="H1474"/>
  <c r="M1473"/>
  <c r="L1473"/>
  <c r="K1473"/>
  <c r="H1473"/>
  <c r="M1472"/>
  <c r="L1472"/>
  <c r="K1472"/>
  <c r="H1472"/>
  <c r="M1471"/>
  <c r="L1471"/>
  <c r="K1471"/>
  <c r="H1471"/>
  <c r="M1470"/>
  <c r="L1470"/>
  <c r="K1470"/>
  <c r="H1470"/>
  <c r="M1469"/>
  <c r="L1469"/>
  <c r="K1469"/>
  <c r="H1469"/>
  <c r="M1468"/>
  <c r="L1468"/>
  <c r="K1468"/>
  <c r="H1468"/>
  <c r="M1467"/>
  <c r="L1467"/>
  <c r="K1467"/>
  <c r="H1467"/>
  <c r="M1466"/>
  <c r="L1466"/>
  <c r="K1466"/>
  <c r="H1466"/>
  <c r="M1465"/>
  <c r="L1465"/>
  <c r="K1465"/>
  <c r="H1465"/>
  <c r="M1464"/>
  <c r="L1464"/>
  <c r="K1464"/>
  <c r="H1464"/>
  <c r="M1463"/>
  <c r="L1463"/>
  <c r="K1463"/>
  <c r="H1463"/>
  <c r="M1462"/>
  <c r="L1462"/>
  <c r="K1462"/>
  <c r="H1462"/>
  <c r="M1461"/>
  <c r="L1461"/>
  <c r="K1461"/>
  <c r="H1461"/>
  <c r="M1460"/>
  <c r="L1460"/>
  <c r="K1460"/>
  <c r="H1460"/>
  <c r="M1459"/>
  <c r="L1459"/>
  <c r="K1459"/>
  <c r="H1459"/>
  <c r="M1458"/>
  <c r="L1458"/>
  <c r="K1458"/>
  <c r="H1458"/>
  <c r="M1457"/>
  <c r="L1457"/>
  <c r="K1457"/>
  <c r="H1457"/>
  <c r="M1456"/>
  <c r="L1456"/>
  <c r="K1456"/>
  <c r="H1456"/>
  <c r="M1455"/>
  <c r="L1455"/>
  <c r="K1455"/>
  <c r="H1455"/>
  <c r="M1454"/>
  <c r="L1454"/>
  <c r="K1454"/>
  <c r="H1454"/>
  <c r="M1453"/>
  <c r="L1453"/>
  <c r="K1453"/>
  <c r="H1453"/>
  <c r="M1452"/>
  <c r="L1452"/>
  <c r="K1452"/>
  <c r="H1452"/>
  <c r="M1451"/>
  <c r="L1451"/>
  <c r="K1451"/>
  <c r="H1451"/>
  <c r="M1450"/>
  <c r="L1450"/>
  <c r="K1450"/>
  <c r="H1450"/>
  <c r="M1449"/>
  <c r="L1449"/>
  <c r="K1449"/>
  <c r="H1449"/>
  <c r="M1448"/>
  <c r="L1448"/>
  <c r="K1448"/>
  <c r="H1448"/>
  <c r="M1447"/>
  <c r="L1447"/>
  <c r="K1447"/>
  <c r="H1447"/>
  <c r="M1446"/>
  <c r="L1446"/>
  <c r="K1446"/>
  <c r="H1446"/>
  <c r="M1445"/>
  <c r="L1445"/>
  <c r="K1445"/>
  <c r="H1445"/>
  <c r="M1444"/>
  <c r="L1444"/>
  <c r="K1444"/>
  <c r="H1444"/>
  <c r="M1443"/>
  <c r="L1443"/>
  <c r="K1443"/>
  <c r="H1443"/>
  <c r="M1442"/>
  <c r="L1442"/>
  <c r="K1442"/>
  <c r="H1442"/>
  <c r="M1441"/>
  <c r="L1441"/>
  <c r="K1441"/>
  <c r="H1441"/>
  <c r="M1440"/>
  <c r="L1440"/>
  <c r="K1440"/>
  <c r="H1440"/>
  <c r="M1439"/>
  <c r="L1439"/>
  <c r="K1439"/>
  <c r="H1439"/>
  <c r="M1438"/>
  <c r="L1438"/>
  <c r="K1438"/>
  <c r="H1438"/>
  <c r="M1437"/>
  <c r="L1437"/>
  <c r="K1437"/>
  <c r="H1437"/>
  <c r="M1436"/>
  <c r="L1436"/>
  <c r="K1436"/>
  <c r="H1436"/>
  <c r="M1435"/>
  <c r="L1435"/>
  <c r="K1435"/>
  <c r="H1435"/>
  <c r="M1434"/>
  <c r="L1434"/>
  <c r="K1434"/>
  <c r="H1434"/>
  <c r="M1433"/>
  <c r="L1433"/>
  <c r="K1433"/>
  <c r="H1433"/>
  <c r="M1432"/>
  <c r="L1432"/>
  <c r="K1432"/>
  <c r="H1432"/>
  <c r="M1431"/>
  <c r="L1431"/>
  <c r="K1431"/>
  <c r="H1431"/>
  <c r="M1430"/>
  <c r="L1430"/>
  <c r="K1430"/>
  <c r="H1430"/>
  <c r="M1429"/>
  <c r="L1429"/>
  <c r="K1429"/>
  <c r="H1429"/>
  <c r="M1428"/>
  <c r="L1428"/>
  <c r="K1428"/>
  <c r="H1428"/>
  <c r="M1427"/>
  <c r="L1427"/>
  <c r="K1427"/>
  <c r="H1427"/>
  <c r="M1426"/>
  <c r="L1426"/>
  <c r="K1426"/>
  <c r="H1426"/>
  <c r="M1425"/>
  <c r="L1425"/>
  <c r="K1425"/>
  <c r="H1425"/>
  <c r="M1424"/>
  <c r="L1424"/>
  <c r="K1424"/>
  <c r="H1424"/>
  <c r="M1423"/>
  <c r="L1423"/>
  <c r="K1423"/>
  <c r="H1423"/>
  <c r="M1422"/>
  <c r="L1422"/>
  <c r="K1422"/>
  <c r="H1422"/>
  <c r="M1421"/>
  <c r="L1421"/>
  <c r="K1421"/>
  <c r="H1421"/>
  <c r="M1420"/>
  <c r="L1420"/>
  <c r="K1420"/>
  <c r="H1420"/>
  <c r="M1419"/>
  <c r="L1419"/>
  <c r="K1419"/>
  <c r="H1419"/>
  <c r="M1418"/>
  <c r="L1418"/>
  <c r="K1418"/>
  <c r="H1418"/>
  <c r="M1417"/>
  <c r="L1417"/>
  <c r="K1417"/>
  <c r="H1417"/>
  <c r="M1416"/>
  <c r="L1416"/>
  <c r="K1416"/>
  <c r="H1416"/>
  <c r="M1415"/>
  <c r="L1415"/>
  <c r="K1415"/>
  <c r="H1415"/>
  <c r="M1414"/>
  <c r="L1414"/>
  <c r="K1414"/>
  <c r="H1414"/>
  <c r="M1413"/>
  <c r="L1413"/>
  <c r="K1413"/>
  <c r="H1413"/>
  <c r="M1412"/>
  <c r="L1412"/>
  <c r="K1412"/>
  <c r="H1412"/>
  <c r="M1411"/>
  <c r="L1411"/>
  <c r="K1411"/>
  <c r="H1411"/>
  <c r="M1410"/>
  <c r="L1410"/>
  <c r="K1410"/>
  <c r="H1410"/>
  <c r="M1409"/>
  <c r="L1409"/>
  <c r="K1409"/>
  <c r="H1409"/>
  <c r="M1408"/>
  <c r="L1408"/>
  <c r="K1408"/>
  <c r="H1408"/>
  <c r="M1407"/>
  <c r="L1407"/>
  <c r="K1407"/>
  <c r="H1407"/>
  <c r="M1406"/>
  <c r="L1406"/>
  <c r="K1406"/>
  <c r="H1406"/>
  <c r="M1405"/>
  <c r="L1405"/>
  <c r="K1405"/>
  <c r="H1405"/>
  <c r="M1404"/>
  <c r="L1404"/>
  <c r="K1404"/>
  <c r="H1404"/>
  <c r="M1403"/>
  <c r="L1403"/>
  <c r="K1403"/>
  <c r="H1403"/>
  <c r="M1402"/>
  <c r="L1402"/>
  <c r="K1402"/>
  <c r="H1402"/>
  <c r="M1401"/>
  <c r="L1401"/>
  <c r="K1401"/>
  <c r="H1401"/>
  <c r="M1400"/>
  <c r="L1400"/>
  <c r="K1400"/>
  <c r="H1400"/>
  <c r="M1399"/>
  <c r="L1399"/>
  <c r="K1399"/>
  <c r="H1399"/>
  <c r="M1398"/>
  <c r="L1398"/>
  <c r="K1398"/>
  <c r="H1398"/>
  <c r="M1397"/>
  <c r="L1397"/>
  <c r="K1397"/>
  <c r="H1397"/>
  <c r="M1396"/>
  <c r="L1396"/>
  <c r="K1396"/>
  <c r="H1396"/>
  <c r="M1395"/>
  <c r="L1395"/>
  <c r="K1395"/>
  <c r="H1395"/>
  <c r="M1394"/>
  <c r="L1394"/>
  <c r="K1394"/>
  <c r="H1394"/>
  <c r="M1393"/>
  <c r="L1393"/>
  <c r="K1393"/>
  <c r="H1393"/>
  <c r="M1392"/>
  <c r="L1392"/>
  <c r="K1392"/>
  <c r="H1392"/>
  <c r="M1391"/>
  <c r="L1391"/>
  <c r="K1391"/>
  <c r="H1391"/>
  <c r="M1390"/>
  <c r="L1390"/>
  <c r="K1390"/>
  <c r="H1390"/>
  <c r="M1389"/>
  <c r="L1389"/>
  <c r="K1389"/>
  <c r="H1389"/>
  <c r="M1388"/>
  <c r="L1388"/>
  <c r="K1388"/>
  <c r="H1388"/>
  <c r="M1387"/>
  <c r="L1387"/>
  <c r="K1387"/>
  <c r="H1387"/>
  <c r="M1386"/>
  <c r="L1386"/>
  <c r="K1386"/>
  <c r="H1386"/>
  <c r="M1385"/>
  <c r="L1385"/>
  <c r="K1385"/>
  <c r="H1385"/>
  <c r="M1384"/>
  <c r="L1384"/>
  <c r="K1384"/>
  <c r="H1384"/>
  <c r="M1383"/>
  <c r="L1383"/>
  <c r="K1383"/>
  <c r="H1383"/>
  <c r="M1382"/>
  <c r="L1382"/>
  <c r="K1382"/>
  <c r="H1382"/>
  <c r="M1381"/>
  <c r="L1381"/>
  <c r="K1381"/>
  <c r="H1381"/>
  <c r="M1380"/>
  <c r="L1380"/>
  <c r="K1380"/>
  <c r="H1380"/>
  <c r="M1379"/>
  <c r="L1379"/>
  <c r="K1379"/>
  <c r="H1379"/>
  <c r="M1378"/>
  <c r="L1378"/>
  <c r="K1378"/>
  <c r="H1378"/>
  <c r="M1377"/>
  <c r="L1377"/>
  <c r="K1377"/>
  <c r="H1377"/>
  <c r="M1376"/>
  <c r="L1376"/>
  <c r="K1376"/>
  <c r="H1376"/>
  <c r="M1375"/>
  <c r="L1375"/>
  <c r="K1375"/>
  <c r="H1375"/>
  <c r="M1374"/>
  <c r="L1374"/>
  <c r="K1374"/>
  <c r="H1374"/>
  <c r="M1373"/>
  <c r="L1373"/>
  <c r="K1373"/>
  <c r="H1373"/>
  <c r="M1372"/>
  <c r="L1372"/>
  <c r="K1372"/>
  <c r="H1372"/>
  <c r="M1371"/>
  <c r="L1371"/>
  <c r="K1371"/>
  <c r="H1371"/>
  <c r="M1370"/>
  <c r="L1370"/>
  <c r="K1370"/>
  <c r="H1370"/>
  <c r="M1369"/>
  <c r="L1369"/>
  <c r="K1369"/>
  <c r="H1369"/>
  <c r="M1368"/>
  <c r="L1368"/>
  <c r="K1368"/>
  <c r="H1368"/>
  <c r="M1367"/>
  <c r="L1367"/>
  <c r="K1367"/>
  <c r="H1367"/>
  <c r="M1366"/>
  <c r="L1366"/>
  <c r="K1366"/>
  <c r="H1366"/>
  <c r="M1365"/>
  <c r="L1365"/>
  <c r="K1365"/>
  <c r="H1365"/>
  <c r="M1364"/>
  <c r="L1364"/>
  <c r="K1364"/>
  <c r="H1364"/>
  <c r="M1363"/>
  <c r="L1363"/>
  <c r="K1363"/>
  <c r="H1363"/>
  <c r="M1362"/>
  <c r="L1362"/>
  <c r="K1362"/>
  <c r="H1362"/>
  <c r="M1361"/>
  <c r="L1361"/>
  <c r="K1361"/>
  <c r="H1361"/>
  <c r="M1360"/>
  <c r="L1360"/>
  <c r="K1360"/>
  <c r="H1360"/>
  <c r="M1359"/>
  <c r="L1359"/>
  <c r="K1359"/>
  <c r="H1359"/>
  <c r="M1358"/>
  <c r="L1358"/>
  <c r="K1358"/>
  <c r="H1358"/>
  <c r="M1357"/>
  <c r="L1357"/>
  <c r="K1357"/>
  <c r="H1357"/>
  <c r="M1356"/>
  <c r="L1356"/>
  <c r="K1356"/>
  <c r="H1356"/>
  <c r="M1355"/>
  <c r="L1355"/>
  <c r="K1355"/>
  <c r="H1355"/>
  <c r="M1354"/>
  <c r="L1354"/>
  <c r="K1354"/>
  <c r="H1354"/>
  <c r="M1353"/>
  <c r="L1353"/>
  <c r="K1353"/>
  <c r="H1353"/>
  <c r="M1352"/>
  <c r="L1352"/>
  <c r="K1352"/>
  <c r="H1352"/>
  <c r="M1351"/>
  <c r="L1351"/>
  <c r="K1351"/>
  <c r="H1351"/>
  <c r="M1350"/>
  <c r="L1350"/>
  <c r="K1350"/>
  <c r="H1350"/>
  <c r="M1349"/>
  <c r="L1349"/>
  <c r="K1349"/>
  <c r="H1349"/>
  <c r="M1348"/>
  <c r="L1348"/>
  <c r="K1348"/>
  <c r="H1348"/>
  <c r="M1347"/>
  <c r="L1347"/>
  <c r="K1347"/>
  <c r="H1347"/>
  <c r="M1346"/>
  <c r="L1346"/>
  <c r="K1346"/>
  <c r="H1346"/>
  <c r="M1345"/>
  <c r="L1345"/>
  <c r="K1345"/>
  <c r="H1345"/>
  <c r="M1344"/>
  <c r="L1344"/>
  <c r="K1344"/>
  <c r="H1344"/>
  <c r="M1343"/>
  <c r="L1343"/>
  <c r="K1343"/>
  <c r="H1343"/>
  <c r="M1342"/>
  <c r="L1342"/>
  <c r="K1342"/>
  <c r="H1342"/>
  <c r="M1341"/>
  <c r="L1341"/>
  <c r="K1341"/>
  <c r="H1341"/>
  <c r="M1340"/>
  <c r="L1340"/>
  <c r="K1340"/>
  <c r="H1340"/>
  <c r="M1339"/>
  <c r="L1339"/>
  <c r="K1339"/>
  <c r="H1339"/>
  <c r="M1338"/>
  <c r="L1338"/>
  <c r="K1338"/>
  <c r="H1338"/>
  <c r="M1337"/>
  <c r="L1337"/>
  <c r="K1337"/>
  <c r="H1337"/>
  <c r="M1336"/>
  <c r="L1336"/>
  <c r="K1336"/>
  <c r="H1336"/>
  <c r="M1335"/>
  <c r="L1335"/>
  <c r="K1335"/>
  <c r="H1335"/>
  <c r="M1334"/>
  <c r="L1334"/>
  <c r="K1334"/>
  <c r="H1334"/>
  <c r="M1333"/>
  <c r="L1333"/>
  <c r="K1333"/>
  <c r="H1333"/>
  <c r="M1332"/>
  <c r="L1332"/>
  <c r="K1332"/>
  <c r="H1332"/>
  <c r="M1331"/>
  <c r="L1331"/>
  <c r="K1331"/>
  <c r="H1331"/>
  <c r="M1330"/>
  <c r="L1330"/>
  <c r="K1330"/>
  <c r="H1330"/>
  <c r="M1329"/>
  <c r="L1329"/>
  <c r="K1329"/>
  <c r="H1329"/>
  <c r="M1328"/>
  <c r="L1328"/>
  <c r="K1328"/>
  <c r="H1328"/>
  <c r="M1327"/>
  <c r="L1327"/>
  <c r="K1327"/>
  <c r="H1327"/>
  <c r="M1326"/>
  <c r="L1326"/>
  <c r="K1326"/>
  <c r="H1326"/>
  <c r="M1325"/>
  <c r="L1325"/>
  <c r="K1325"/>
  <c r="H1325"/>
  <c r="M1324"/>
  <c r="L1324"/>
  <c r="K1324"/>
  <c r="H1324"/>
  <c r="M1323"/>
  <c r="L1323"/>
  <c r="K1323"/>
  <c r="H1323"/>
  <c r="M1322"/>
  <c r="L1322"/>
  <c r="K1322"/>
  <c r="H1322"/>
  <c r="M1321"/>
  <c r="L1321"/>
  <c r="K1321"/>
  <c r="H1321"/>
  <c r="M1320"/>
  <c r="L1320"/>
  <c r="K1320"/>
  <c r="H1320"/>
  <c r="M1319"/>
  <c r="L1319"/>
  <c r="K1319"/>
  <c r="H1319"/>
  <c r="M1318"/>
  <c r="L1318"/>
  <c r="K1318"/>
  <c r="H1318"/>
  <c r="M1317"/>
  <c r="L1317"/>
  <c r="K1317"/>
  <c r="H1317"/>
  <c r="M1316"/>
  <c r="L1316"/>
  <c r="K1316"/>
  <c r="H1316"/>
  <c r="M1315"/>
  <c r="L1315"/>
  <c r="K1315"/>
  <c r="H1315"/>
  <c r="M1314"/>
  <c r="L1314"/>
  <c r="K1314"/>
  <c r="H1314"/>
  <c r="M1313"/>
  <c r="L1313"/>
  <c r="K1313"/>
  <c r="H1313"/>
  <c r="M1312"/>
  <c r="L1312"/>
  <c r="K1312"/>
  <c r="H1312"/>
  <c r="M1311"/>
  <c r="L1311"/>
  <c r="K1311"/>
  <c r="H1311"/>
  <c r="M1310"/>
  <c r="L1310"/>
  <c r="K1310"/>
  <c r="H1310"/>
  <c r="M1309"/>
  <c r="L1309"/>
  <c r="K1309"/>
  <c r="H1309"/>
  <c r="M1308"/>
  <c r="L1308"/>
  <c r="K1308"/>
  <c r="H1308"/>
  <c r="M1307"/>
  <c r="L1307"/>
  <c r="K1307"/>
  <c r="H1307"/>
  <c r="M1306"/>
  <c r="L1306"/>
  <c r="K1306"/>
  <c r="H1306"/>
  <c r="M1305"/>
  <c r="L1305"/>
  <c r="K1305"/>
  <c r="H1305"/>
  <c r="M1304"/>
  <c r="L1304"/>
  <c r="K1304"/>
  <c r="H1304"/>
  <c r="M1303"/>
  <c r="L1303"/>
  <c r="K1303"/>
  <c r="H1303"/>
  <c r="M1302"/>
  <c r="L1302"/>
  <c r="K1302"/>
  <c r="H1302"/>
  <c r="M1301"/>
  <c r="L1301"/>
  <c r="K1301"/>
  <c r="H1301"/>
  <c r="M1300"/>
  <c r="L1300"/>
  <c r="K1300"/>
  <c r="H1300"/>
  <c r="M1299"/>
  <c r="L1299"/>
  <c r="K1299"/>
  <c r="H1299"/>
  <c r="M1298"/>
  <c r="L1298"/>
  <c r="K1298"/>
  <c r="H1298"/>
  <c r="M1297"/>
  <c r="L1297"/>
  <c r="K1297"/>
  <c r="H1297"/>
  <c r="M1296"/>
  <c r="L1296"/>
  <c r="K1296"/>
  <c r="H1296"/>
  <c r="M1295"/>
  <c r="L1295"/>
  <c r="K1295"/>
  <c r="H1295"/>
  <c r="M1294"/>
  <c r="L1294"/>
  <c r="K1294"/>
  <c r="H1294"/>
  <c r="M1293"/>
  <c r="L1293"/>
  <c r="K1293"/>
  <c r="H1293"/>
  <c r="M1292"/>
  <c r="L1292"/>
  <c r="K1292"/>
  <c r="H1292"/>
  <c r="M1291"/>
  <c r="L1291"/>
  <c r="K1291"/>
  <c r="H1291"/>
  <c r="M1290"/>
  <c r="L1290"/>
  <c r="K1290"/>
  <c r="H1290"/>
  <c r="M1289"/>
  <c r="L1289"/>
  <c r="K1289"/>
  <c r="H1289"/>
  <c r="M1288"/>
  <c r="L1288"/>
  <c r="K1288"/>
  <c r="H1288"/>
  <c r="M1287"/>
  <c r="L1287"/>
  <c r="K1287"/>
  <c r="H1287"/>
  <c r="M1286"/>
  <c r="L1286"/>
  <c r="K1286"/>
  <c r="H1286"/>
  <c r="M1285"/>
  <c r="L1285"/>
  <c r="K1285"/>
  <c r="H1285"/>
  <c r="M1284"/>
  <c r="L1284"/>
  <c r="K1284"/>
  <c r="H1284"/>
  <c r="M1283"/>
  <c r="L1283"/>
  <c r="K1283"/>
  <c r="H1283"/>
  <c r="M1282"/>
  <c r="L1282"/>
  <c r="K1282"/>
  <c r="H1282"/>
  <c r="M1281"/>
  <c r="L1281"/>
  <c r="K1281"/>
  <c r="H1281"/>
  <c r="M1280"/>
  <c r="L1280"/>
  <c r="K1280"/>
  <c r="H1280"/>
  <c r="M1279"/>
  <c r="L1279"/>
  <c r="K1279"/>
  <c r="H1279"/>
  <c r="M1278"/>
  <c r="L1278"/>
  <c r="K1278"/>
  <c r="H1278"/>
  <c r="M1277"/>
  <c r="L1277"/>
  <c r="K1277"/>
  <c r="H1277"/>
  <c r="M1276"/>
  <c r="L1276"/>
  <c r="K1276"/>
  <c r="H1276"/>
  <c r="M1275"/>
  <c r="L1275"/>
  <c r="K1275"/>
  <c r="H1275"/>
  <c r="M1274"/>
  <c r="L1274"/>
  <c r="K1274"/>
  <c r="H1274"/>
  <c r="M1273"/>
  <c r="L1273"/>
  <c r="K1273"/>
  <c r="H1273"/>
  <c r="M1272"/>
  <c r="L1272"/>
  <c r="K1272"/>
  <c r="H1272"/>
  <c r="M1271"/>
  <c r="L1271"/>
  <c r="K1271"/>
  <c r="H1271"/>
  <c r="M1270"/>
  <c r="L1270"/>
  <c r="K1270"/>
  <c r="H1270"/>
  <c r="M1269"/>
  <c r="L1269"/>
  <c r="K1269"/>
  <c r="H1269"/>
  <c r="M1268"/>
  <c r="L1268"/>
  <c r="K1268"/>
  <c r="H1268"/>
  <c r="M1267"/>
  <c r="L1267"/>
  <c r="K1267"/>
  <c r="H1267"/>
  <c r="M1266"/>
  <c r="L1266"/>
  <c r="K1266"/>
  <c r="H1266"/>
  <c r="M1265"/>
  <c r="L1265"/>
  <c r="K1265"/>
  <c r="H1265"/>
  <c r="M1264"/>
  <c r="L1264"/>
  <c r="K1264"/>
  <c r="H1264"/>
  <c r="M1263"/>
  <c r="L1263"/>
  <c r="K1263"/>
  <c r="H1263"/>
  <c r="M1262"/>
  <c r="L1262"/>
  <c r="K1262"/>
  <c r="H1262"/>
  <c r="M1261"/>
  <c r="L1261"/>
  <c r="K1261"/>
  <c r="H1261"/>
  <c r="M1260"/>
  <c r="L1260"/>
  <c r="K1260"/>
  <c r="H1260"/>
  <c r="M1259"/>
  <c r="L1259"/>
  <c r="K1259"/>
  <c r="H1259"/>
  <c r="M1258"/>
  <c r="L1258"/>
  <c r="K1258"/>
  <c r="H1258"/>
  <c r="M1257"/>
  <c r="L1257"/>
  <c r="K1257"/>
  <c r="H1257"/>
  <c r="M1256"/>
  <c r="L1256"/>
  <c r="K1256"/>
  <c r="H1256"/>
  <c r="M1255"/>
  <c r="L1255"/>
  <c r="K1255"/>
  <c r="H1255"/>
  <c r="M1254"/>
  <c r="L1254"/>
  <c r="K1254"/>
  <c r="H1254"/>
  <c r="M1253"/>
  <c r="L1253"/>
  <c r="K1253"/>
  <c r="H1253"/>
  <c r="M1252"/>
  <c r="L1252"/>
  <c r="K1252"/>
  <c r="H1252"/>
  <c r="M1251"/>
  <c r="L1251"/>
  <c r="K1251"/>
  <c r="H1251"/>
  <c r="M1250"/>
  <c r="L1250"/>
  <c r="K1250"/>
  <c r="H1250"/>
  <c r="M1249"/>
  <c r="L1249"/>
  <c r="K1249"/>
  <c r="H1249"/>
  <c r="M1248"/>
  <c r="L1248"/>
  <c r="K1248"/>
  <c r="H1248"/>
  <c r="M1247"/>
  <c r="L1247"/>
  <c r="K1247"/>
  <c r="H1247"/>
  <c r="M1246"/>
  <c r="L1246"/>
  <c r="K1246"/>
  <c r="H1246"/>
  <c r="M1245"/>
  <c r="L1245"/>
  <c r="K1245"/>
  <c r="H1245"/>
  <c r="M1244"/>
  <c r="L1244"/>
  <c r="K1244"/>
  <c r="H1244"/>
  <c r="M1243"/>
  <c r="L1243"/>
  <c r="K1243"/>
  <c r="H1243"/>
  <c r="M1242"/>
  <c r="L1242"/>
  <c r="K1242"/>
  <c r="H1242"/>
  <c r="M1241"/>
  <c r="L1241"/>
  <c r="K1241"/>
  <c r="H1241"/>
  <c r="M1240"/>
  <c r="L1240"/>
  <c r="K1240"/>
  <c r="H1240"/>
  <c r="M1239"/>
  <c r="L1239"/>
  <c r="K1239"/>
  <c r="H1239"/>
  <c r="M1238"/>
  <c r="L1238"/>
  <c r="K1238"/>
  <c r="H1238"/>
  <c r="M1237"/>
  <c r="L1237"/>
  <c r="K1237"/>
  <c r="H1237"/>
  <c r="M1236"/>
  <c r="L1236"/>
  <c r="K1236"/>
  <c r="H1236"/>
  <c r="M1235"/>
  <c r="L1235"/>
  <c r="K1235"/>
  <c r="H1235"/>
  <c r="M1234"/>
  <c r="L1234"/>
  <c r="K1234"/>
  <c r="H1234"/>
  <c r="M1233"/>
  <c r="L1233"/>
  <c r="K1233"/>
  <c r="H1233"/>
  <c r="M1232"/>
  <c r="L1232"/>
  <c r="K1232"/>
  <c r="H1232"/>
  <c r="M1231"/>
  <c r="L1231"/>
  <c r="K1231"/>
  <c r="H1231"/>
  <c r="M1230"/>
  <c r="L1230"/>
  <c r="K1230"/>
  <c r="H1230"/>
  <c r="M1229"/>
  <c r="L1229"/>
  <c r="K1229"/>
  <c r="H1229"/>
  <c r="M1228"/>
  <c r="L1228"/>
  <c r="K1228"/>
  <c r="H1228"/>
  <c r="M1227"/>
  <c r="L1227"/>
  <c r="K1227"/>
  <c r="H1227"/>
  <c r="M1226"/>
  <c r="L1226"/>
  <c r="K1226"/>
  <c r="H1226"/>
  <c r="M1225"/>
  <c r="L1225"/>
  <c r="K1225"/>
  <c r="H1225"/>
  <c r="M1224"/>
  <c r="L1224"/>
  <c r="K1224"/>
  <c r="H1224"/>
  <c r="M1223"/>
  <c r="L1223"/>
  <c r="K1223"/>
  <c r="H1223"/>
  <c r="M1222"/>
  <c r="L1222"/>
  <c r="K1222"/>
  <c r="H1222"/>
  <c r="M1221"/>
  <c r="L1221"/>
  <c r="K1221"/>
  <c r="H1221"/>
  <c r="M1220"/>
  <c r="L1220"/>
  <c r="K1220"/>
  <c r="H1220"/>
  <c r="M1219"/>
  <c r="L1219"/>
  <c r="K1219"/>
  <c r="H1219"/>
  <c r="M1218"/>
  <c r="L1218"/>
  <c r="K1218"/>
  <c r="H1218"/>
  <c r="M1217"/>
  <c r="L1217"/>
  <c r="K1217"/>
  <c r="H1217"/>
  <c r="M1216"/>
  <c r="L1216"/>
  <c r="K1216"/>
  <c r="H1216"/>
  <c r="M1215"/>
  <c r="L1215"/>
  <c r="K1215"/>
  <c r="H1215"/>
  <c r="M1214"/>
  <c r="L1214"/>
  <c r="K1214"/>
  <c r="H1214"/>
  <c r="M1213"/>
  <c r="L1213"/>
  <c r="K1213"/>
  <c r="H1213"/>
  <c r="M1212"/>
  <c r="L1212"/>
  <c r="K1212"/>
  <c r="H1212"/>
  <c r="M1211"/>
  <c r="L1211"/>
  <c r="K1211"/>
  <c r="H1211"/>
  <c r="M1210"/>
  <c r="L1210"/>
  <c r="K1210"/>
  <c r="H1210"/>
  <c r="M1209"/>
  <c r="L1209"/>
  <c r="K1209"/>
  <c r="H1209"/>
  <c r="M1208"/>
  <c r="L1208"/>
  <c r="K1208"/>
  <c r="H1208"/>
  <c r="M1207"/>
  <c r="L1207"/>
  <c r="K1207"/>
  <c r="H1207"/>
  <c r="M1206"/>
  <c r="L1206"/>
  <c r="K1206"/>
  <c r="H1206"/>
  <c r="M1205"/>
  <c r="L1205"/>
  <c r="K1205"/>
  <c r="H1205"/>
  <c r="M1204"/>
  <c r="L1204"/>
  <c r="K1204"/>
  <c r="H1204"/>
  <c r="M1203"/>
  <c r="L1203"/>
  <c r="K1203"/>
  <c r="H1203"/>
  <c r="M1202"/>
  <c r="L1202"/>
  <c r="K1202"/>
  <c r="H1202"/>
  <c r="M1201"/>
  <c r="L1201"/>
  <c r="K1201"/>
  <c r="H1201"/>
  <c r="M1200"/>
  <c r="L1200"/>
  <c r="K1200"/>
  <c r="H1200"/>
  <c r="M1199"/>
  <c r="L1199"/>
  <c r="K1199"/>
  <c r="H1199"/>
  <c r="M1198"/>
  <c r="L1198"/>
  <c r="K1198"/>
  <c r="H1198"/>
  <c r="M1197"/>
  <c r="L1197"/>
  <c r="K1197"/>
  <c r="H1197"/>
  <c r="M1196"/>
  <c r="L1196"/>
  <c r="K1196"/>
  <c r="H1196"/>
  <c r="M1195"/>
  <c r="L1195"/>
  <c r="K1195"/>
  <c r="H1195"/>
  <c r="M1194"/>
  <c r="L1194"/>
  <c r="K1194"/>
  <c r="H1194"/>
  <c r="M1193"/>
  <c r="L1193"/>
  <c r="K1193"/>
  <c r="H1193"/>
  <c r="M1192"/>
  <c r="L1192"/>
  <c r="K1192"/>
  <c r="H1192"/>
  <c r="M1191"/>
  <c r="L1191"/>
  <c r="K1191"/>
  <c r="H1191"/>
  <c r="M1190"/>
  <c r="L1190"/>
  <c r="K1190"/>
  <c r="H1190"/>
  <c r="M1189"/>
  <c r="L1189"/>
  <c r="K1189"/>
  <c r="H1189"/>
  <c r="M1188"/>
  <c r="L1188"/>
  <c r="K1188"/>
  <c r="H1188"/>
  <c r="M1187"/>
  <c r="L1187"/>
  <c r="K1187"/>
  <c r="H1187"/>
  <c r="M1186"/>
  <c r="L1186"/>
  <c r="K1186"/>
  <c r="H1186"/>
  <c r="M1185"/>
  <c r="L1185"/>
  <c r="K1185"/>
  <c r="H1185"/>
  <c r="M1184"/>
  <c r="L1184"/>
  <c r="K1184"/>
  <c r="H1184"/>
  <c r="M1183"/>
  <c r="L1183"/>
  <c r="K1183"/>
  <c r="H1183"/>
  <c r="M1182"/>
  <c r="L1182"/>
  <c r="K1182"/>
  <c r="H1182"/>
  <c r="M1181"/>
  <c r="L1181"/>
  <c r="K1181"/>
  <c r="H1181"/>
  <c r="M1180"/>
  <c r="L1180"/>
  <c r="K1180"/>
  <c r="H1180"/>
  <c r="M1179"/>
  <c r="L1179"/>
  <c r="K1179"/>
  <c r="H1179"/>
  <c r="M1178"/>
  <c r="L1178"/>
  <c r="K1178"/>
  <c r="H1178"/>
  <c r="M1177"/>
  <c r="L1177"/>
  <c r="K1177"/>
  <c r="H1177"/>
  <c r="M1176"/>
  <c r="L1176"/>
  <c r="K1176"/>
  <c r="H1176"/>
  <c r="M1175"/>
  <c r="L1175"/>
  <c r="K1175"/>
  <c r="H1175"/>
  <c r="M1174"/>
  <c r="L1174"/>
  <c r="K1174"/>
  <c r="H1174"/>
  <c r="M1173"/>
  <c r="L1173"/>
  <c r="K1173"/>
  <c r="H1173"/>
  <c r="M1172"/>
  <c r="L1172"/>
  <c r="K1172"/>
  <c r="H1172"/>
  <c r="M1171"/>
  <c r="L1171"/>
  <c r="K1171"/>
  <c r="H1171"/>
  <c r="M1170"/>
  <c r="L1170"/>
  <c r="K1170"/>
  <c r="H1170"/>
  <c r="M1169"/>
  <c r="L1169"/>
  <c r="K1169"/>
  <c r="H1169"/>
  <c r="M1168"/>
  <c r="L1168"/>
  <c r="K1168"/>
  <c r="H1168"/>
  <c r="M1167"/>
  <c r="L1167"/>
  <c r="K1167"/>
  <c r="H1167"/>
  <c r="M1166"/>
  <c r="L1166"/>
  <c r="K1166"/>
  <c r="H1166"/>
  <c r="M1165"/>
  <c r="L1165"/>
  <c r="K1165"/>
  <c r="H1165"/>
  <c r="M1164"/>
  <c r="L1164"/>
  <c r="K1164"/>
  <c r="H1164"/>
  <c r="M1163"/>
  <c r="L1163"/>
  <c r="K1163"/>
  <c r="H1163"/>
  <c r="M1162"/>
  <c r="L1162"/>
  <c r="K1162"/>
  <c r="H1162"/>
  <c r="M1161"/>
  <c r="L1161"/>
  <c r="K1161"/>
  <c r="H1161"/>
  <c r="M1160"/>
  <c r="L1160"/>
  <c r="K1160"/>
  <c r="H1160"/>
  <c r="M1159"/>
  <c r="L1159"/>
  <c r="K1159"/>
  <c r="H1159"/>
  <c r="M1158"/>
  <c r="L1158"/>
  <c r="K1158"/>
  <c r="H1158"/>
  <c r="M1157"/>
  <c r="L1157"/>
  <c r="K1157"/>
  <c r="H1157"/>
  <c r="M1156"/>
  <c r="L1156"/>
  <c r="K1156"/>
  <c r="H1156"/>
  <c r="M1155"/>
  <c r="L1155"/>
  <c r="K1155"/>
  <c r="H1155"/>
  <c r="M1154"/>
  <c r="L1154"/>
  <c r="K1154"/>
  <c r="H1154"/>
  <c r="M1153"/>
  <c r="L1153"/>
  <c r="K1153"/>
  <c r="H1153"/>
  <c r="M1152"/>
  <c r="L1152"/>
  <c r="K1152"/>
  <c r="H1152"/>
  <c r="M1151"/>
  <c r="L1151"/>
  <c r="K1151"/>
  <c r="H1151"/>
  <c r="M1150"/>
  <c r="L1150"/>
  <c r="K1150"/>
  <c r="H1150"/>
  <c r="M1149"/>
  <c r="L1149"/>
  <c r="K1149"/>
  <c r="H1149"/>
  <c r="M1148"/>
  <c r="L1148"/>
  <c r="K1148"/>
  <c r="H1148"/>
  <c r="M1147"/>
  <c r="L1147"/>
  <c r="K1147"/>
  <c r="H1147"/>
  <c r="M1146"/>
  <c r="L1146"/>
  <c r="K1146"/>
  <c r="H1146"/>
  <c r="M1145"/>
  <c r="L1145"/>
  <c r="K1145"/>
  <c r="H1145"/>
  <c r="M1144"/>
  <c r="L1144"/>
  <c r="K1144"/>
  <c r="H1144"/>
  <c r="M1143"/>
  <c r="L1143"/>
  <c r="K1143"/>
  <c r="H1143"/>
  <c r="M1142"/>
  <c r="L1142"/>
  <c r="K1142"/>
  <c r="H1142"/>
  <c r="M1141"/>
  <c r="L1141"/>
  <c r="K1141"/>
  <c r="H1141"/>
  <c r="M1140"/>
  <c r="L1140"/>
  <c r="K1140"/>
  <c r="H1140"/>
  <c r="M1139"/>
  <c r="L1139"/>
  <c r="K1139"/>
  <c r="H1139"/>
  <c r="M1138"/>
  <c r="L1138"/>
  <c r="K1138"/>
  <c r="H1138"/>
  <c r="M1137"/>
  <c r="L1137"/>
  <c r="K1137"/>
  <c r="H1137"/>
  <c r="M1136"/>
  <c r="L1136"/>
  <c r="K1136"/>
  <c r="H1136"/>
  <c r="M1135"/>
  <c r="L1135"/>
  <c r="K1135"/>
  <c r="H1135"/>
  <c r="M1134"/>
  <c r="L1134"/>
  <c r="K1134"/>
  <c r="H1134"/>
  <c r="M1133"/>
  <c r="L1133"/>
  <c r="K1133"/>
  <c r="H1133"/>
  <c r="M1132"/>
  <c r="L1132"/>
  <c r="K1132"/>
  <c r="H1132"/>
  <c r="M1131"/>
  <c r="L1131"/>
  <c r="K1131"/>
  <c r="H1131"/>
  <c r="M1130"/>
  <c r="L1130"/>
  <c r="K1130"/>
  <c r="H1130"/>
  <c r="M1129"/>
  <c r="L1129"/>
  <c r="K1129"/>
  <c r="H1129"/>
  <c r="M1128"/>
  <c r="L1128"/>
  <c r="K1128"/>
  <c r="H1128"/>
  <c r="M1127"/>
  <c r="L1127"/>
  <c r="K1127"/>
  <c r="H1127"/>
  <c r="M1126"/>
  <c r="L1126"/>
  <c r="K1126"/>
  <c r="H1126"/>
  <c r="M1125"/>
  <c r="L1125"/>
  <c r="K1125"/>
  <c r="H1125"/>
  <c r="M1124"/>
  <c r="L1124"/>
  <c r="K1124"/>
  <c r="H1124"/>
  <c r="M1123"/>
  <c r="L1123"/>
  <c r="K1123"/>
  <c r="H1123"/>
  <c r="M1122"/>
  <c r="L1122"/>
  <c r="K1122"/>
  <c r="H1122"/>
  <c r="M1121"/>
  <c r="L1121"/>
  <c r="K1121"/>
  <c r="H1121"/>
  <c r="M1120"/>
  <c r="L1120"/>
  <c r="K1120"/>
  <c r="H1120"/>
  <c r="M1119"/>
  <c r="L1119"/>
  <c r="K1119"/>
  <c r="H1119"/>
  <c r="M1118"/>
  <c r="L1118"/>
  <c r="K1118"/>
  <c r="H1118"/>
  <c r="M1117"/>
  <c r="L1117"/>
  <c r="K1117"/>
  <c r="H1117"/>
  <c r="M1116"/>
  <c r="L1116"/>
  <c r="K1116"/>
  <c r="H1116"/>
  <c r="M1115"/>
  <c r="L1115"/>
  <c r="K1115"/>
  <c r="H1115"/>
  <c r="M1114"/>
  <c r="L1114"/>
  <c r="K1114"/>
  <c r="H1114"/>
  <c r="M1113"/>
  <c r="L1113"/>
  <c r="K1113"/>
  <c r="H1113"/>
  <c r="M1112"/>
  <c r="L1112"/>
  <c r="K1112"/>
  <c r="H1112"/>
  <c r="M1111"/>
  <c r="L1111"/>
  <c r="K1111"/>
  <c r="H1111"/>
  <c r="M1110"/>
  <c r="L1110"/>
  <c r="K1110"/>
  <c r="H1110"/>
  <c r="M1109"/>
  <c r="L1109"/>
  <c r="K1109"/>
  <c r="H1109"/>
  <c r="M1108"/>
  <c r="L1108"/>
  <c r="K1108"/>
  <c r="H1108"/>
  <c r="M1107"/>
  <c r="L1107"/>
  <c r="K1107"/>
  <c r="H1107"/>
  <c r="M1106"/>
  <c r="L1106"/>
  <c r="K1106"/>
  <c r="H1106"/>
  <c r="M1105"/>
  <c r="L1105"/>
  <c r="K1105"/>
  <c r="H1105"/>
  <c r="M1104"/>
  <c r="L1104"/>
  <c r="K1104"/>
  <c r="H1104"/>
  <c r="M1103"/>
  <c r="L1103"/>
  <c r="K1103"/>
  <c r="H1103"/>
  <c r="M1102"/>
  <c r="L1102"/>
  <c r="K1102"/>
  <c r="H1102"/>
  <c r="M1101"/>
  <c r="L1101"/>
  <c r="K1101"/>
  <c r="H1101"/>
  <c r="M1100"/>
  <c r="L1100"/>
  <c r="K1100"/>
  <c r="H1100"/>
  <c r="M1099"/>
  <c r="L1099"/>
  <c r="K1099"/>
  <c r="H1099"/>
  <c r="M1098"/>
  <c r="L1098"/>
  <c r="K1098"/>
  <c r="H1098"/>
  <c r="M1097"/>
  <c r="L1097"/>
  <c r="K1097"/>
  <c r="H1097"/>
  <c r="M1096"/>
  <c r="L1096"/>
  <c r="K1096"/>
  <c r="H1096"/>
  <c r="M1095"/>
  <c r="L1095"/>
  <c r="K1095"/>
  <c r="H1095"/>
  <c r="M1094"/>
  <c r="L1094"/>
  <c r="K1094"/>
  <c r="H1094"/>
  <c r="M1093"/>
  <c r="L1093"/>
  <c r="K1093"/>
  <c r="H1093"/>
  <c r="M1092"/>
  <c r="L1092"/>
  <c r="K1092"/>
  <c r="H1092"/>
  <c r="M1091"/>
  <c r="L1091"/>
  <c r="K1091"/>
  <c r="H1091"/>
  <c r="M1090"/>
  <c r="L1090"/>
  <c r="K1090"/>
  <c r="H1090"/>
  <c r="M1089"/>
  <c r="L1089"/>
  <c r="K1089"/>
  <c r="H1089"/>
  <c r="M1088"/>
  <c r="L1088"/>
  <c r="K1088"/>
  <c r="H1088"/>
  <c r="M1087"/>
  <c r="L1087"/>
  <c r="K1087"/>
  <c r="H1087"/>
  <c r="M1086"/>
  <c r="L1086"/>
  <c r="K1086"/>
  <c r="H1086"/>
  <c r="M1085"/>
  <c r="L1085"/>
  <c r="K1085"/>
  <c r="H1085"/>
  <c r="M1084"/>
  <c r="L1084"/>
  <c r="K1084"/>
  <c r="H1084"/>
  <c r="M1083"/>
  <c r="L1083"/>
  <c r="K1083"/>
  <c r="H1083"/>
  <c r="M1082"/>
  <c r="L1082"/>
  <c r="K1082"/>
  <c r="H1082"/>
  <c r="M1081"/>
  <c r="L1081"/>
  <c r="K1081"/>
  <c r="H1081"/>
  <c r="M1080"/>
  <c r="L1080"/>
  <c r="K1080"/>
  <c r="H1080"/>
  <c r="M1079"/>
  <c r="L1079"/>
  <c r="K1079"/>
  <c r="H1079"/>
  <c r="M1078"/>
  <c r="L1078"/>
  <c r="K1078"/>
  <c r="H1078"/>
  <c r="M1077"/>
  <c r="L1077"/>
  <c r="K1077"/>
  <c r="H1077"/>
  <c r="M1076"/>
  <c r="L1076"/>
  <c r="K1076"/>
  <c r="H1076"/>
  <c r="M1075"/>
  <c r="L1075"/>
  <c r="K1075"/>
  <c r="H1075"/>
  <c r="M1074"/>
  <c r="L1074"/>
  <c r="K1074"/>
  <c r="H1074"/>
  <c r="M1073"/>
  <c r="L1073"/>
  <c r="K1073"/>
  <c r="H1073"/>
  <c r="M1072"/>
  <c r="L1072"/>
  <c r="K1072"/>
  <c r="H1072"/>
  <c r="M1071"/>
  <c r="L1071"/>
  <c r="K1071"/>
  <c r="H1071"/>
  <c r="M1070"/>
  <c r="L1070"/>
  <c r="K1070"/>
  <c r="H1070"/>
  <c r="M1069"/>
  <c r="L1069"/>
  <c r="K1069"/>
  <c r="H1069"/>
  <c r="M1068"/>
  <c r="L1068"/>
  <c r="K1068"/>
  <c r="H1068"/>
  <c r="M1067"/>
  <c r="L1067"/>
  <c r="K1067"/>
  <c r="H1067"/>
  <c r="M1066"/>
  <c r="L1066"/>
  <c r="K1066"/>
  <c r="H1066"/>
  <c r="M1065"/>
  <c r="L1065"/>
  <c r="K1065"/>
  <c r="H1065"/>
  <c r="M1064"/>
  <c r="L1064"/>
  <c r="K1064"/>
  <c r="H1064"/>
  <c r="M1063"/>
  <c r="L1063"/>
  <c r="K1063"/>
  <c r="H1063"/>
  <c r="M1062"/>
  <c r="L1062"/>
  <c r="K1062"/>
  <c r="H1062"/>
  <c r="M1061"/>
  <c r="L1061"/>
  <c r="K1061"/>
  <c r="H1061"/>
  <c r="M1060"/>
  <c r="L1060"/>
  <c r="K1060"/>
  <c r="H1060"/>
  <c r="M1059"/>
  <c r="L1059"/>
  <c r="K1059"/>
  <c r="H1059"/>
  <c r="M1058"/>
  <c r="L1058"/>
  <c r="K1058"/>
  <c r="H1058"/>
  <c r="M1057"/>
  <c r="L1057"/>
  <c r="K1057"/>
  <c r="H1057"/>
  <c r="M1056"/>
  <c r="L1056"/>
  <c r="K1056"/>
  <c r="H1056"/>
  <c r="M1055"/>
  <c r="L1055"/>
  <c r="K1055"/>
  <c r="H1055"/>
  <c r="M1054"/>
  <c r="L1054"/>
  <c r="K1054"/>
  <c r="H1054"/>
  <c r="M1053"/>
  <c r="L1053"/>
  <c r="K1053"/>
  <c r="H1053"/>
  <c r="M1052"/>
  <c r="L1052"/>
  <c r="K1052"/>
  <c r="H1052"/>
  <c r="M1051"/>
  <c r="L1051"/>
  <c r="K1051"/>
  <c r="H1051"/>
  <c r="M1050"/>
  <c r="L1050"/>
  <c r="K1050"/>
  <c r="H1050"/>
  <c r="M1049"/>
  <c r="L1049"/>
  <c r="K1049"/>
  <c r="H1049"/>
  <c r="M1048"/>
  <c r="L1048"/>
  <c r="K1048"/>
  <c r="H1048"/>
  <c r="M1047"/>
  <c r="L1047"/>
  <c r="K1047"/>
  <c r="H1047"/>
  <c r="M1046"/>
  <c r="L1046"/>
  <c r="K1046"/>
  <c r="H1046"/>
  <c r="M1045"/>
  <c r="L1045"/>
  <c r="K1045"/>
  <c r="H1045"/>
  <c r="M1044"/>
  <c r="L1044"/>
  <c r="K1044"/>
  <c r="H1044"/>
  <c r="M1043"/>
  <c r="L1043"/>
  <c r="K1043"/>
  <c r="H1043"/>
  <c r="M1042"/>
  <c r="L1042"/>
  <c r="K1042"/>
  <c r="H1042"/>
  <c r="M1041"/>
  <c r="L1041"/>
  <c r="K1041"/>
  <c r="H1041"/>
  <c r="M1040"/>
  <c r="L1040"/>
  <c r="K1040"/>
  <c r="H1040"/>
  <c r="M1039"/>
  <c r="L1039"/>
  <c r="K1039"/>
  <c r="H1039"/>
  <c r="M1038"/>
  <c r="L1038"/>
  <c r="K1038"/>
  <c r="H1038"/>
  <c r="M1037"/>
  <c r="L1037"/>
  <c r="K1037"/>
  <c r="H1037"/>
  <c r="M1036"/>
  <c r="L1036"/>
  <c r="K1036"/>
  <c r="H1036"/>
  <c r="M1035"/>
  <c r="L1035"/>
  <c r="K1035"/>
  <c r="H1035"/>
  <c r="M1034"/>
  <c r="L1034"/>
  <c r="K1034"/>
  <c r="H1034"/>
  <c r="M1033"/>
  <c r="L1033"/>
  <c r="K1033"/>
  <c r="H1033"/>
  <c r="M1032"/>
  <c r="L1032"/>
  <c r="K1032"/>
  <c r="H1032"/>
  <c r="M1031"/>
  <c r="L1031"/>
  <c r="K1031"/>
  <c r="H1031"/>
  <c r="M1030"/>
  <c r="L1030"/>
  <c r="K1030"/>
  <c r="H1030"/>
  <c r="M1029"/>
  <c r="L1029"/>
  <c r="K1029"/>
  <c r="H1029"/>
  <c r="M1028"/>
  <c r="L1028"/>
  <c r="K1028"/>
  <c r="H1028"/>
  <c r="M1027"/>
  <c r="L1027"/>
  <c r="K1027"/>
  <c r="H1027"/>
  <c r="M1026"/>
  <c r="L1026"/>
  <c r="K1026"/>
  <c r="H1026"/>
  <c r="M1025"/>
  <c r="L1025"/>
  <c r="K1025"/>
  <c r="H1025"/>
  <c r="M1024"/>
  <c r="L1024"/>
  <c r="K1024"/>
  <c r="H1024"/>
  <c r="M1023"/>
  <c r="L1023"/>
  <c r="K1023"/>
  <c r="H1023"/>
  <c r="M1022"/>
  <c r="L1022"/>
  <c r="K1022"/>
  <c r="H1022"/>
  <c r="M1021"/>
  <c r="L1021"/>
  <c r="K1021"/>
  <c r="H1021"/>
  <c r="M1020"/>
  <c r="L1020"/>
  <c r="K1020"/>
  <c r="H1020"/>
  <c r="M1019"/>
  <c r="L1019"/>
  <c r="K1019"/>
  <c r="H1019"/>
  <c r="M1018"/>
  <c r="L1018"/>
  <c r="K1018"/>
  <c r="H1018"/>
  <c r="M1017"/>
  <c r="L1017"/>
  <c r="K1017"/>
  <c r="H1017"/>
  <c r="M1016"/>
  <c r="L1016"/>
  <c r="K1016"/>
  <c r="H1016"/>
  <c r="M1015"/>
  <c r="L1015"/>
  <c r="K1015"/>
  <c r="H1015"/>
  <c r="M1014"/>
  <c r="L1014"/>
  <c r="K1014"/>
  <c r="H1014"/>
  <c r="M1013"/>
  <c r="L1013"/>
  <c r="K1013"/>
  <c r="H1013"/>
  <c r="M1012"/>
  <c r="L1012"/>
  <c r="K1012"/>
  <c r="H1012"/>
  <c r="M1011"/>
  <c r="L1011"/>
  <c r="K1011"/>
  <c r="H1011"/>
  <c r="M1010"/>
  <c r="L1010"/>
  <c r="K1010"/>
  <c r="H1010"/>
  <c r="M1009"/>
  <c r="L1009"/>
  <c r="K1009"/>
  <c r="H1009"/>
  <c r="M1008"/>
  <c r="L1008"/>
  <c r="K1008"/>
  <c r="H1008"/>
  <c r="M1007"/>
  <c r="L1007"/>
  <c r="K1007"/>
  <c r="H1007"/>
  <c r="M1006"/>
  <c r="L1006"/>
  <c r="K1006"/>
  <c r="H1006"/>
  <c r="M1005"/>
  <c r="L1005"/>
  <c r="K1005"/>
  <c r="H1005"/>
  <c r="M1004"/>
  <c r="L1004"/>
  <c r="K1004"/>
  <c r="H1004"/>
  <c r="M1003"/>
  <c r="L1003"/>
  <c r="K1003"/>
  <c r="H1003"/>
  <c r="M1002"/>
  <c r="L1002"/>
  <c r="K1002"/>
  <c r="H1002"/>
  <c r="M1001"/>
  <c r="L1001"/>
  <c r="K1001"/>
  <c r="H1001"/>
  <c r="M1000"/>
  <c r="L1000"/>
  <c r="K1000"/>
  <c r="H1000"/>
  <c r="M999"/>
  <c r="L999"/>
  <c r="K999"/>
  <c r="H999"/>
  <c r="M998"/>
  <c r="L998"/>
  <c r="K998"/>
  <c r="H998"/>
  <c r="M997"/>
  <c r="L997"/>
  <c r="K997"/>
  <c r="H997"/>
  <c r="M996"/>
  <c r="L996"/>
  <c r="K996"/>
  <c r="H996"/>
  <c r="M995"/>
  <c r="L995"/>
  <c r="K995"/>
  <c r="H995"/>
  <c r="M994"/>
  <c r="L994"/>
  <c r="K994"/>
  <c r="H994"/>
  <c r="M993"/>
  <c r="L993"/>
  <c r="K993"/>
  <c r="H993"/>
  <c r="M992"/>
  <c r="L992"/>
  <c r="K992"/>
  <c r="H992"/>
  <c r="M991"/>
  <c r="L991"/>
  <c r="K991"/>
  <c r="H991"/>
  <c r="M990"/>
  <c r="L990"/>
  <c r="K990"/>
  <c r="H990"/>
  <c r="M989"/>
  <c r="L989"/>
  <c r="K989"/>
  <c r="H989"/>
  <c r="M988"/>
  <c r="L988"/>
  <c r="K988"/>
  <c r="H988"/>
  <c r="M987"/>
  <c r="L987"/>
  <c r="K987"/>
  <c r="H987"/>
  <c r="M986"/>
  <c r="L986"/>
  <c r="K986"/>
  <c r="H986"/>
  <c r="M985"/>
  <c r="L985"/>
  <c r="K985"/>
  <c r="H985"/>
  <c r="M984"/>
  <c r="L984"/>
  <c r="K984"/>
  <c r="H984"/>
  <c r="M983"/>
  <c r="L983"/>
  <c r="K983"/>
  <c r="H983"/>
  <c r="M982"/>
  <c r="L982"/>
  <c r="K982"/>
  <c r="H982"/>
  <c r="M981"/>
  <c r="L981"/>
  <c r="K981"/>
  <c r="H981"/>
  <c r="M980"/>
  <c r="L980"/>
  <c r="K980"/>
  <c r="H980"/>
  <c r="M979"/>
  <c r="L979"/>
  <c r="K979"/>
  <c r="H979"/>
  <c r="M978"/>
  <c r="L978"/>
  <c r="K978"/>
  <c r="H978"/>
  <c r="M977"/>
  <c r="L977"/>
  <c r="K977"/>
  <c r="H977"/>
  <c r="M976"/>
  <c r="L976"/>
  <c r="K976"/>
  <c r="H976"/>
  <c r="M975"/>
  <c r="L975"/>
  <c r="K975"/>
  <c r="H975"/>
  <c r="M974"/>
  <c r="L974"/>
  <c r="K974"/>
  <c r="H974"/>
  <c r="M973"/>
  <c r="L973"/>
  <c r="K973"/>
  <c r="H973"/>
  <c r="M972"/>
  <c r="L972"/>
  <c r="K972"/>
  <c r="H972"/>
  <c r="M971"/>
  <c r="L971"/>
  <c r="K971"/>
  <c r="H971"/>
  <c r="M970"/>
  <c r="L970"/>
  <c r="K970"/>
  <c r="H970"/>
  <c r="M969"/>
  <c r="L969"/>
  <c r="K969"/>
  <c r="H969"/>
  <c r="M968"/>
  <c r="L968"/>
  <c r="K968"/>
  <c r="H968"/>
  <c r="M967"/>
  <c r="L967"/>
  <c r="K967"/>
  <c r="H967"/>
  <c r="M966"/>
  <c r="L966"/>
  <c r="K966"/>
  <c r="H966"/>
  <c r="M965"/>
  <c r="L965"/>
  <c r="K965"/>
  <c r="H965"/>
  <c r="M964"/>
  <c r="L964"/>
  <c r="K964"/>
  <c r="H964"/>
  <c r="M963"/>
  <c r="L963"/>
  <c r="K963"/>
  <c r="H963"/>
  <c r="M962"/>
  <c r="L962"/>
  <c r="K962"/>
  <c r="H962"/>
  <c r="M961"/>
  <c r="L961"/>
  <c r="K961"/>
  <c r="H961"/>
  <c r="M960"/>
  <c r="L960"/>
  <c r="K960"/>
  <c r="H960"/>
  <c r="M959"/>
  <c r="L959"/>
  <c r="K959"/>
  <c r="H959"/>
  <c r="M958"/>
  <c r="L958"/>
  <c r="K958"/>
  <c r="H958"/>
  <c r="M957"/>
  <c r="L957"/>
  <c r="K957"/>
  <c r="H957"/>
  <c r="M956"/>
  <c r="L956"/>
  <c r="K956"/>
  <c r="H956"/>
  <c r="M955"/>
  <c r="L955"/>
  <c r="K955"/>
  <c r="H955"/>
  <c r="M954"/>
  <c r="L954"/>
  <c r="K954"/>
  <c r="H954"/>
  <c r="M953"/>
  <c r="L953"/>
  <c r="K953"/>
  <c r="H953"/>
  <c r="M952"/>
  <c r="L952"/>
  <c r="K952"/>
  <c r="H952"/>
  <c r="M951"/>
  <c r="L951"/>
  <c r="K951"/>
  <c r="H951"/>
  <c r="M950"/>
  <c r="L950"/>
  <c r="K950"/>
  <c r="H950"/>
  <c r="M949"/>
  <c r="L949"/>
  <c r="K949"/>
  <c r="H949"/>
  <c r="M948"/>
  <c r="L948"/>
  <c r="K948"/>
  <c r="H948"/>
  <c r="M947"/>
  <c r="L947"/>
  <c r="K947"/>
  <c r="H947"/>
  <c r="M946"/>
  <c r="L946"/>
  <c r="K946"/>
  <c r="H946"/>
  <c r="M945"/>
  <c r="L945"/>
  <c r="K945"/>
  <c r="H945"/>
  <c r="M944"/>
  <c r="L944"/>
  <c r="K944"/>
  <c r="H944"/>
  <c r="M943"/>
  <c r="L943"/>
  <c r="K943"/>
  <c r="H943"/>
  <c r="M942"/>
  <c r="L942"/>
  <c r="K942"/>
  <c r="H942"/>
  <c r="M941"/>
  <c r="L941"/>
  <c r="K941"/>
  <c r="H941"/>
  <c r="M940"/>
  <c r="L940"/>
  <c r="K940"/>
  <c r="H940"/>
  <c r="M939"/>
  <c r="L939"/>
  <c r="K939"/>
  <c r="H939"/>
  <c r="M938"/>
  <c r="L938"/>
  <c r="K938"/>
  <c r="H938"/>
  <c r="M937"/>
  <c r="L937"/>
  <c r="K937"/>
  <c r="H937"/>
  <c r="M936"/>
  <c r="L936"/>
  <c r="K936"/>
  <c r="H936"/>
  <c r="M935"/>
  <c r="L935"/>
  <c r="K935"/>
  <c r="H935"/>
  <c r="M934"/>
  <c r="L934"/>
  <c r="K934"/>
  <c r="H934"/>
  <c r="M933"/>
  <c r="L933"/>
  <c r="K933"/>
  <c r="H933"/>
  <c r="M932"/>
  <c r="L932"/>
  <c r="K932"/>
  <c r="H932"/>
  <c r="M931"/>
  <c r="L931"/>
  <c r="K931"/>
  <c r="H931"/>
  <c r="M930"/>
  <c r="L930"/>
  <c r="K930"/>
  <c r="H930"/>
  <c r="M929"/>
  <c r="L929"/>
  <c r="K929"/>
  <c r="H929"/>
  <c r="M928"/>
  <c r="L928"/>
  <c r="K928"/>
  <c r="H928"/>
  <c r="M927"/>
  <c r="L927"/>
  <c r="K927"/>
  <c r="H927"/>
  <c r="M926"/>
  <c r="L926"/>
  <c r="K926"/>
  <c r="H926"/>
  <c r="M925"/>
  <c r="L925"/>
  <c r="K925"/>
  <c r="H925"/>
  <c r="M924"/>
  <c r="L924"/>
  <c r="K924"/>
  <c r="H924"/>
  <c r="M923"/>
  <c r="L923"/>
  <c r="K923"/>
  <c r="H923"/>
  <c r="M922"/>
  <c r="L922"/>
  <c r="K922"/>
  <c r="H922"/>
  <c r="M921"/>
  <c r="L921"/>
  <c r="K921"/>
  <c r="H921"/>
  <c r="M920"/>
  <c r="L920"/>
  <c r="K920"/>
  <c r="H920"/>
  <c r="M919"/>
  <c r="L919"/>
  <c r="K919"/>
  <c r="H919"/>
  <c r="M918"/>
  <c r="L918"/>
  <c r="K918"/>
  <c r="H918"/>
  <c r="M917"/>
  <c r="L917"/>
  <c r="K917"/>
  <c r="H917"/>
  <c r="M916"/>
  <c r="L916"/>
  <c r="K916"/>
  <c r="H916"/>
  <c r="M915"/>
  <c r="L915"/>
  <c r="K915"/>
  <c r="H915"/>
  <c r="M914"/>
  <c r="L914"/>
  <c r="K914"/>
  <c r="H914"/>
  <c r="M913"/>
  <c r="L913"/>
  <c r="K913"/>
  <c r="H913"/>
  <c r="M912"/>
  <c r="L912"/>
  <c r="K912"/>
  <c r="H912"/>
  <c r="M911"/>
  <c r="L911"/>
  <c r="K911"/>
  <c r="H911"/>
  <c r="M910"/>
  <c r="L910"/>
  <c r="K910"/>
  <c r="H910"/>
  <c r="M909"/>
  <c r="L909"/>
  <c r="K909"/>
  <c r="H909"/>
  <c r="M908"/>
  <c r="L908"/>
  <c r="K908"/>
  <c r="H908"/>
  <c r="M907"/>
  <c r="L907"/>
  <c r="K907"/>
  <c r="H907"/>
  <c r="M906"/>
  <c r="L906"/>
  <c r="K906"/>
  <c r="H906"/>
  <c r="M905"/>
  <c r="L905"/>
  <c r="K905"/>
  <c r="H905"/>
  <c r="M904"/>
  <c r="L904"/>
  <c r="K904"/>
  <c r="H904"/>
  <c r="M903"/>
  <c r="L903"/>
  <c r="K903"/>
  <c r="H903"/>
  <c r="M902"/>
  <c r="L902"/>
  <c r="K902"/>
  <c r="H902"/>
  <c r="M901"/>
  <c r="L901"/>
  <c r="K901"/>
  <c r="H901"/>
  <c r="M900"/>
  <c r="L900"/>
  <c r="K900"/>
  <c r="H900"/>
  <c r="M899"/>
  <c r="L899"/>
  <c r="K899"/>
  <c r="H899"/>
  <c r="M898"/>
  <c r="L898"/>
  <c r="K898"/>
  <c r="H898"/>
  <c r="M897"/>
  <c r="L897"/>
  <c r="K897"/>
  <c r="H897"/>
  <c r="M896"/>
  <c r="L896"/>
  <c r="K896"/>
  <c r="H896"/>
  <c r="M895"/>
  <c r="L895"/>
  <c r="K895"/>
  <c r="H895"/>
  <c r="M894"/>
  <c r="L894"/>
  <c r="K894"/>
  <c r="H894"/>
  <c r="M893"/>
  <c r="L893"/>
  <c r="K893"/>
  <c r="H893"/>
  <c r="M892"/>
  <c r="L892"/>
  <c r="K892"/>
  <c r="H892"/>
  <c r="M891"/>
  <c r="L891"/>
  <c r="K891"/>
  <c r="H891"/>
  <c r="M890"/>
  <c r="L890"/>
  <c r="K890"/>
  <c r="H890"/>
  <c r="M889"/>
  <c r="L889"/>
  <c r="K889"/>
  <c r="H889"/>
  <c r="M888"/>
  <c r="L888"/>
  <c r="K888"/>
  <c r="H888"/>
  <c r="M887"/>
  <c r="L887"/>
  <c r="K887"/>
  <c r="H887"/>
  <c r="M886"/>
  <c r="L886"/>
  <c r="K886"/>
  <c r="H886"/>
  <c r="M885"/>
  <c r="L885"/>
  <c r="K885"/>
  <c r="H885"/>
  <c r="M884"/>
  <c r="L884"/>
  <c r="K884"/>
  <c r="H884"/>
  <c r="M883"/>
  <c r="L883"/>
  <c r="K883"/>
  <c r="H883"/>
  <c r="M882"/>
  <c r="L882"/>
  <c r="K882"/>
  <c r="H882"/>
  <c r="M881"/>
  <c r="L881"/>
  <c r="K881"/>
  <c r="H881"/>
  <c r="M880"/>
  <c r="L880"/>
  <c r="K880"/>
  <c r="H880"/>
  <c r="M879"/>
  <c r="L879"/>
  <c r="K879"/>
  <c r="H879"/>
  <c r="M878"/>
  <c r="L878"/>
  <c r="K878"/>
  <c r="H878"/>
  <c r="M877"/>
  <c r="L877"/>
  <c r="K877"/>
  <c r="H877"/>
  <c r="M876"/>
  <c r="L876"/>
  <c r="K876"/>
  <c r="H876"/>
  <c r="M875"/>
  <c r="L875"/>
  <c r="K875"/>
  <c r="H875"/>
  <c r="M874"/>
  <c r="L874"/>
  <c r="K874"/>
  <c r="H874"/>
  <c r="M873"/>
  <c r="L873"/>
  <c r="K873"/>
  <c r="H873"/>
  <c r="M872"/>
  <c r="L872"/>
  <c r="K872"/>
  <c r="H872"/>
  <c r="M871"/>
  <c r="L871"/>
  <c r="K871"/>
  <c r="H871"/>
  <c r="M870"/>
  <c r="L870"/>
  <c r="K870"/>
  <c r="H870"/>
  <c r="M869"/>
  <c r="L869"/>
  <c r="K869"/>
  <c r="H869"/>
  <c r="M868"/>
  <c r="L868"/>
  <c r="K868"/>
  <c r="H868"/>
  <c r="M867"/>
  <c r="L867"/>
  <c r="K867"/>
  <c r="H867"/>
  <c r="M866"/>
  <c r="L866"/>
  <c r="K866"/>
  <c r="H866"/>
  <c r="M865"/>
  <c r="L865"/>
  <c r="K865"/>
  <c r="H865"/>
  <c r="M864"/>
  <c r="L864"/>
  <c r="K864"/>
  <c r="H864"/>
  <c r="M863"/>
  <c r="L863"/>
  <c r="K863"/>
  <c r="H863"/>
  <c r="M862"/>
  <c r="L862"/>
  <c r="K862"/>
  <c r="H862"/>
  <c r="M861"/>
  <c r="L861"/>
  <c r="K861"/>
  <c r="H861"/>
  <c r="M860"/>
  <c r="L860"/>
  <c r="K860"/>
  <c r="H860"/>
  <c r="M859"/>
  <c r="L859"/>
  <c r="K859"/>
  <c r="H859"/>
  <c r="M858"/>
  <c r="L858"/>
  <c r="K858"/>
  <c r="H858"/>
  <c r="M857"/>
  <c r="L857"/>
  <c r="K857"/>
  <c r="H857"/>
  <c r="M856"/>
  <c r="L856"/>
  <c r="K856"/>
  <c r="H856"/>
  <c r="M855"/>
  <c r="L855"/>
  <c r="K855"/>
  <c r="H855"/>
  <c r="M854"/>
  <c r="L854"/>
  <c r="K854"/>
  <c r="H854"/>
  <c r="M853"/>
  <c r="L853"/>
  <c r="K853"/>
  <c r="H853"/>
  <c r="M852"/>
  <c r="L852"/>
  <c r="K852"/>
  <c r="H852"/>
  <c r="M851"/>
  <c r="L851"/>
  <c r="K851"/>
  <c r="H851"/>
  <c r="M850"/>
  <c r="L850"/>
  <c r="K850"/>
  <c r="H850"/>
  <c r="M849"/>
  <c r="L849"/>
  <c r="K849"/>
  <c r="H849"/>
  <c r="M848"/>
  <c r="L848"/>
  <c r="K848"/>
  <c r="H848"/>
  <c r="M847"/>
  <c r="L847"/>
  <c r="K847"/>
  <c r="H847"/>
  <c r="M846"/>
  <c r="L846"/>
  <c r="K846"/>
  <c r="H846"/>
  <c r="M845"/>
  <c r="L845"/>
  <c r="K845"/>
  <c r="H845"/>
  <c r="M844"/>
  <c r="L844"/>
  <c r="K844"/>
  <c r="H844"/>
  <c r="M843"/>
  <c r="L843"/>
  <c r="K843"/>
  <c r="H843"/>
  <c r="M842"/>
  <c r="L842"/>
  <c r="K842"/>
  <c r="H842"/>
  <c r="M841"/>
  <c r="L841"/>
  <c r="K841"/>
  <c r="H841"/>
  <c r="M840"/>
  <c r="L840"/>
  <c r="K840"/>
  <c r="H840"/>
  <c r="M839"/>
  <c r="L839"/>
  <c r="K839"/>
  <c r="H839"/>
  <c r="M838"/>
  <c r="L838"/>
  <c r="K838"/>
  <c r="H838"/>
  <c r="M837"/>
  <c r="L837"/>
  <c r="K837"/>
  <c r="H837"/>
  <c r="M836"/>
  <c r="L836"/>
  <c r="K836"/>
  <c r="H836"/>
  <c r="M835"/>
  <c r="L835"/>
  <c r="K835"/>
  <c r="H835"/>
  <c r="M834"/>
  <c r="L834"/>
  <c r="K834"/>
  <c r="H834"/>
  <c r="M833"/>
  <c r="L833"/>
  <c r="K833"/>
  <c r="H833"/>
  <c r="M832"/>
  <c r="L832"/>
  <c r="K832"/>
  <c r="H832"/>
  <c r="M831"/>
  <c r="L831"/>
  <c r="K831"/>
  <c r="H831"/>
  <c r="M830"/>
  <c r="L830"/>
  <c r="K830"/>
  <c r="H830"/>
  <c r="M829"/>
  <c r="L829"/>
  <c r="K829"/>
  <c r="H829"/>
  <c r="M828"/>
  <c r="L828"/>
  <c r="K828"/>
  <c r="H828"/>
  <c r="M827"/>
  <c r="L827"/>
  <c r="K827"/>
  <c r="H827"/>
  <c r="M826"/>
  <c r="L826"/>
  <c r="K826"/>
  <c r="H826"/>
  <c r="M825"/>
  <c r="L825"/>
  <c r="K825"/>
  <c r="H825"/>
  <c r="M824"/>
  <c r="L824"/>
  <c r="K824"/>
  <c r="H824"/>
  <c r="M823"/>
  <c r="L823"/>
  <c r="K823"/>
  <c r="H823"/>
  <c r="M822"/>
  <c r="L822"/>
  <c r="K822"/>
  <c r="H822"/>
  <c r="M821"/>
  <c r="L821"/>
  <c r="K821"/>
  <c r="H821"/>
  <c r="M820"/>
  <c r="L820"/>
  <c r="K820"/>
  <c r="H820"/>
  <c r="M819"/>
  <c r="L819"/>
  <c r="K819"/>
  <c r="H819"/>
  <c r="M818"/>
  <c r="L818"/>
  <c r="K818"/>
  <c r="H818"/>
  <c r="M817"/>
  <c r="L817"/>
  <c r="K817"/>
  <c r="H817"/>
  <c r="M816"/>
  <c r="L816"/>
  <c r="K816"/>
  <c r="H816"/>
  <c r="M815"/>
  <c r="L815"/>
  <c r="K815"/>
  <c r="H815"/>
  <c r="M814"/>
  <c r="L814"/>
  <c r="K814"/>
  <c r="H814"/>
  <c r="M813"/>
  <c r="L813"/>
  <c r="K813"/>
  <c r="H813"/>
  <c r="M812"/>
  <c r="L812"/>
  <c r="K812"/>
  <c r="H812"/>
  <c r="M811"/>
  <c r="L811"/>
  <c r="K811"/>
  <c r="H811"/>
  <c r="M810"/>
  <c r="L810"/>
  <c r="K810"/>
  <c r="H810"/>
  <c r="M809"/>
  <c r="L809"/>
  <c r="K809"/>
  <c r="H809"/>
  <c r="M808"/>
  <c r="L808"/>
  <c r="K808"/>
  <c r="H808"/>
  <c r="M807"/>
  <c r="L807"/>
  <c r="K807"/>
  <c r="H807"/>
  <c r="M806"/>
  <c r="L806"/>
  <c r="K806"/>
  <c r="H806"/>
  <c r="M805"/>
  <c r="L805"/>
  <c r="K805"/>
  <c r="H805"/>
  <c r="M804"/>
  <c r="L804"/>
  <c r="K804"/>
  <c r="H804"/>
  <c r="M803"/>
  <c r="L803"/>
  <c r="K803"/>
  <c r="H803"/>
  <c r="M802"/>
  <c r="L802"/>
  <c r="K802"/>
  <c r="H802"/>
  <c r="M801"/>
  <c r="L801"/>
  <c r="K801"/>
  <c r="H801"/>
  <c r="M800"/>
  <c r="L800"/>
  <c r="K800"/>
  <c r="H800"/>
  <c r="M799"/>
  <c r="L799"/>
  <c r="K799"/>
  <c r="H799"/>
  <c r="M798"/>
  <c r="L798"/>
  <c r="K798"/>
  <c r="H798"/>
  <c r="M797"/>
  <c r="L797"/>
  <c r="K797"/>
  <c r="H797"/>
  <c r="M796"/>
  <c r="L796"/>
  <c r="K796"/>
  <c r="H796"/>
  <c r="M795"/>
  <c r="L795"/>
  <c r="K795"/>
  <c r="H795"/>
  <c r="M794"/>
  <c r="L794"/>
  <c r="K794"/>
  <c r="H794"/>
  <c r="M793"/>
  <c r="L793"/>
  <c r="K793"/>
  <c r="H793"/>
  <c r="M792"/>
  <c r="L792"/>
  <c r="K792"/>
  <c r="H792"/>
  <c r="M791"/>
  <c r="L791"/>
  <c r="K791"/>
  <c r="H791"/>
  <c r="M790"/>
  <c r="L790"/>
  <c r="K790"/>
  <c r="H790"/>
  <c r="M789"/>
  <c r="L789"/>
  <c r="K789"/>
  <c r="H789"/>
  <c r="M788"/>
  <c r="L788"/>
  <c r="K788"/>
  <c r="H788"/>
  <c r="M787"/>
  <c r="L787"/>
  <c r="K787"/>
  <c r="H787"/>
  <c r="M786"/>
  <c r="L786"/>
  <c r="K786"/>
  <c r="H786"/>
  <c r="M785"/>
  <c r="L785"/>
  <c r="K785"/>
  <c r="H785"/>
  <c r="M784"/>
  <c r="L784"/>
  <c r="K784"/>
  <c r="H784"/>
  <c r="M783"/>
  <c r="L783"/>
  <c r="K783"/>
  <c r="H783"/>
  <c r="M782"/>
  <c r="L782"/>
  <c r="K782"/>
  <c r="H782"/>
  <c r="M781"/>
  <c r="L781"/>
  <c r="K781"/>
  <c r="H781"/>
  <c r="M780"/>
  <c r="L780"/>
  <c r="K780"/>
  <c r="H780"/>
  <c r="M779"/>
  <c r="L779"/>
  <c r="K779"/>
  <c r="H779"/>
  <c r="M778"/>
  <c r="L778"/>
  <c r="K778"/>
  <c r="H778"/>
  <c r="M777"/>
  <c r="L777"/>
  <c r="K777"/>
  <c r="H777"/>
  <c r="M776"/>
  <c r="L776"/>
  <c r="K776"/>
  <c r="H776"/>
  <c r="M775"/>
  <c r="L775"/>
  <c r="K775"/>
  <c r="H775"/>
  <c r="M774"/>
  <c r="L774"/>
  <c r="K774"/>
  <c r="H774"/>
  <c r="M773"/>
  <c r="L773"/>
  <c r="K773"/>
  <c r="H773"/>
  <c r="M772"/>
  <c r="L772"/>
  <c r="K772"/>
  <c r="H772"/>
  <c r="M771"/>
  <c r="L771"/>
  <c r="K771"/>
  <c r="H771"/>
  <c r="M770"/>
  <c r="L770"/>
  <c r="K770"/>
  <c r="H770"/>
  <c r="M769"/>
  <c r="L769"/>
  <c r="K769"/>
  <c r="H769"/>
  <c r="M768"/>
  <c r="L768"/>
  <c r="K768"/>
  <c r="H768"/>
  <c r="M767"/>
  <c r="L767"/>
  <c r="K767"/>
  <c r="H767"/>
  <c r="M766"/>
  <c r="L766"/>
  <c r="K766"/>
  <c r="H766"/>
  <c r="M765"/>
  <c r="L765"/>
  <c r="K765"/>
  <c r="H765"/>
  <c r="M764"/>
  <c r="L764"/>
  <c r="K764"/>
  <c r="H764"/>
  <c r="M763"/>
  <c r="L763"/>
  <c r="K763"/>
  <c r="H763"/>
  <c r="M762"/>
  <c r="L762"/>
  <c r="K762"/>
  <c r="H762"/>
  <c r="M761"/>
  <c r="L761"/>
  <c r="K761"/>
  <c r="H761"/>
  <c r="M760"/>
  <c r="L760"/>
  <c r="K760"/>
  <c r="H760"/>
  <c r="M759"/>
  <c r="L759"/>
  <c r="K759"/>
  <c r="H759"/>
  <c r="M758"/>
  <c r="L758"/>
  <c r="K758"/>
  <c r="H758"/>
  <c r="M757"/>
  <c r="L757"/>
  <c r="K757"/>
  <c r="H757"/>
  <c r="M756"/>
  <c r="L756"/>
  <c r="K756"/>
  <c r="H756"/>
  <c r="M755"/>
  <c r="L755"/>
  <c r="K755"/>
  <c r="H755"/>
  <c r="M754"/>
  <c r="L754"/>
  <c r="K754"/>
  <c r="H754"/>
  <c r="M753"/>
  <c r="L753"/>
  <c r="K753"/>
  <c r="H753"/>
  <c r="M752"/>
  <c r="L752"/>
  <c r="K752"/>
  <c r="H752"/>
  <c r="M751"/>
  <c r="L751"/>
  <c r="K751"/>
  <c r="H751"/>
  <c r="M750"/>
  <c r="L750"/>
  <c r="K750"/>
  <c r="H750"/>
  <c r="M749"/>
  <c r="L749"/>
  <c r="K749"/>
  <c r="H749"/>
  <c r="M748"/>
  <c r="L748"/>
  <c r="K748"/>
  <c r="H748"/>
  <c r="M747"/>
  <c r="L747"/>
  <c r="K747"/>
  <c r="H747"/>
  <c r="M746"/>
  <c r="L746"/>
  <c r="K746"/>
  <c r="H746"/>
  <c r="M745"/>
  <c r="L745"/>
  <c r="K745"/>
  <c r="H745"/>
  <c r="M744"/>
  <c r="L744"/>
  <c r="K744"/>
  <c r="H744"/>
  <c r="M743"/>
  <c r="L743"/>
  <c r="K743"/>
  <c r="H743"/>
  <c r="M742"/>
  <c r="L742"/>
  <c r="K742"/>
  <c r="H742"/>
  <c r="M741"/>
  <c r="L741"/>
  <c r="K741"/>
  <c r="H741"/>
  <c r="M740"/>
  <c r="L740"/>
  <c r="K740"/>
  <c r="H740"/>
  <c r="M739"/>
  <c r="L739"/>
  <c r="K739"/>
  <c r="H739"/>
  <c r="M738"/>
  <c r="L738"/>
  <c r="K738"/>
  <c r="H738"/>
  <c r="M737"/>
  <c r="L737"/>
  <c r="K737"/>
  <c r="H737"/>
  <c r="M736"/>
  <c r="L736"/>
  <c r="K736"/>
  <c r="H736"/>
  <c r="M735"/>
  <c r="L735"/>
  <c r="K735"/>
  <c r="H735"/>
  <c r="M734"/>
  <c r="L734"/>
  <c r="K734"/>
  <c r="H734"/>
  <c r="M733"/>
  <c r="L733"/>
  <c r="K733"/>
  <c r="H733"/>
  <c r="M732"/>
  <c r="L732"/>
  <c r="K732"/>
  <c r="H732"/>
  <c r="M731"/>
  <c r="L731"/>
  <c r="K731"/>
  <c r="H731"/>
  <c r="M730"/>
  <c r="L730"/>
  <c r="K730"/>
  <c r="H730"/>
  <c r="M729"/>
  <c r="L729"/>
  <c r="K729"/>
  <c r="H729"/>
  <c r="M728"/>
  <c r="L728"/>
  <c r="K728"/>
  <c r="H728"/>
  <c r="M727"/>
  <c r="L727"/>
  <c r="K727"/>
  <c r="H727"/>
  <c r="M726"/>
  <c r="L726"/>
  <c r="K726"/>
  <c r="H726"/>
  <c r="M725"/>
  <c r="L725"/>
  <c r="K725"/>
  <c r="H725"/>
  <c r="M724"/>
  <c r="L724"/>
  <c r="K724"/>
  <c r="H724"/>
  <c r="M723"/>
  <c r="L723"/>
  <c r="K723"/>
  <c r="H723"/>
  <c r="M722"/>
  <c r="L722"/>
  <c r="K722"/>
  <c r="H722"/>
  <c r="M721"/>
  <c r="L721"/>
  <c r="K721"/>
  <c r="H721"/>
  <c r="M720"/>
  <c r="L720"/>
  <c r="K720"/>
  <c r="H720"/>
  <c r="M719"/>
  <c r="L719"/>
  <c r="K719"/>
  <c r="H719"/>
  <c r="M718"/>
  <c r="L718"/>
  <c r="K718"/>
  <c r="H718"/>
  <c r="M717"/>
  <c r="L717"/>
  <c r="K717"/>
  <c r="H717"/>
  <c r="M716"/>
  <c r="L716"/>
  <c r="K716"/>
  <c r="H716"/>
  <c r="M715"/>
  <c r="L715"/>
  <c r="K715"/>
  <c r="H715"/>
  <c r="M714"/>
  <c r="L714"/>
  <c r="K714"/>
  <c r="H714"/>
  <c r="M713"/>
  <c r="L713"/>
  <c r="K713"/>
  <c r="H713"/>
  <c r="M712"/>
  <c r="L712"/>
  <c r="K712"/>
  <c r="H712"/>
  <c r="M711"/>
  <c r="L711"/>
  <c r="K711"/>
  <c r="H711"/>
  <c r="M710"/>
  <c r="L710"/>
  <c r="K710"/>
  <c r="H710"/>
  <c r="M709"/>
  <c r="L709"/>
  <c r="K709"/>
  <c r="H709"/>
  <c r="M708"/>
  <c r="L708"/>
  <c r="K708"/>
  <c r="H708"/>
  <c r="M707"/>
  <c r="L707"/>
  <c r="K707"/>
  <c r="H707"/>
  <c r="M706"/>
  <c r="L706"/>
  <c r="K706"/>
  <c r="H706"/>
  <c r="M705"/>
  <c r="L705"/>
  <c r="K705"/>
  <c r="H705"/>
  <c r="M704"/>
  <c r="L704"/>
  <c r="K704"/>
  <c r="H704"/>
  <c r="M703"/>
  <c r="L703"/>
  <c r="K703"/>
  <c r="H703"/>
  <c r="M702"/>
  <c r="L702"/>
  <c r="K702"/>
  <c r="H702"/>
  <c r="M701"/>
  <c r="L701"/>
  <c r="K701"/>
  <c r="H701"/>
  <c r="M700"/>
  <c r="L700"/>
  <c r="K700"/>
  <c r="H700"/>
  <c r="M699"/>
  <c r="L699"/>
  <c r="K699"/>
  <c r="H699"/>
  <c r="M698"/>
  <c r="L698"/>
  <c r="K698"/>
  <c r="H698"/>
  <c r="M697"/>
  <c r="L697"/>
  <c r="K697"/>
  <c r="H697"/>
  <c r="M696"/>
  <c r="L696"/>
  <c r="K696"/>
  <c r="H696"/>
  <c r="M695"/>
  <c r="L695"/>
  <c r="K695"/>
  <c r="H695"/>
  <c r="M694"/>
  <c r="L694"/>
  <c r="K694"/>
  <c r="H694"/>
  <c r="M693"/>
  <c r="L693"/>
  <c r="K693"/>
  <c r="H693"/>
  <c r="M692"/>
  <c r="L692"/>
  <c r="K692"/>
  <c r="H692"/>
  <c r="M691"/>
  <c r="L691"/>
  <c r="K691"/>
  <c r="H691"/>
  <c r="M690"/>
  <c r="L690"/>
  <c r="K690"/>
  <c r="H690"/>
  <c r="M689"/>
  <c r="L689"/>
  <c r="K689"/>
  <c r="H689"/>
  <c r="M688"/>
  <c r="L688"/>
  <c r="K688"/>
  <c r="H688"/>
  <c r="M687"/>
  <c r="L687"/>
  <c r="K687"/>
  <c r="H687"/>
  <c r="M686"/>
  <c r="L686"/>
  <c r="K686"/>
  <c r="H686"/>
  <c r="M685"/>
  <c r="L685"/>
  <c r="K685"/>
  <c r="H685"/>
  <c r="M684"/>
  <c r="L684"/>
  <c r="K684"/>
  <c r="H684"/>
  <c r="M683"/>
  <c r="L683"/>
  <c r="K683"/>
  <c r="H683"/>
  <c r="M682"/>
  <c r="L682"/>
  <c r="K682"/>
  <c r="H682"/>
  <c r="M681"/>
  <c r="L681"/>
  <c r="K681"/>
  <c r="H681"/>
  <c r="M680"/>
  <c r="L680"/>
  <c r="K680"/>
  <c r="H680"/>
  <c r="M679"/>
  <c r="L679"/>
  <c r="K679"/>
  <c r="H679"/>
  <c r="M678"/>
  <c r="L678"/>
  <c r="K678"/>
  <c r="H678"/>
  <c r="M677"/>
  <c r="L677"/>
  <c r="K677"/>
  <c r="H677"/>
  <c r="M676"/>
  <c r="L676"/>
  <c r="K676"/>
  <c r="H676"/>
  <c r="M675"/>
  <c r="L675"/>
  <c r="K675"/>
  <c r="H675"/>
  <c r="M674"/>
  <c r="L674"/>
  <c r="K674"/>
  <c r="H674"/>
  <c r="M673"/>
  <c r="L673"/>
  <c r="K673"/>
  <c r="H673"/>
  <c r="M672"/>
  <c r="L672"/>
  <c r="K672"/>
  <c r="H672"/>
  <c r="M671"/>
  <c r="L671"/>
  <c r="K671"/>
  <c r="H671"/>
  <c r="M670"/>
  <c r="L670"/>
  <c r="K670"/>
  <c r="H670"/>
  <c r="M669"/>
  <c r="L669"/>
  <c r="K669"/>
  <c r="H669"/>
  <c r="M668"/>
  <c r="L668"/>
  <c r="K668"/>
  <c r="H668"/>
  <c r="M667"/>
  <c r="L667"/>
  <c r="K667"/>
  <c r="H667"/>
  <c r="M666"/>
  <c r="L666"/>
  <c r="K666"/>
  <c r="H666"/>
  <c r="M665"/>
  <c r="L665"/>
  <c r="K665"/>
  <c r="H665"/>
  <c r="M664"/>
  <c r="L664"/>
  <c r="K664"/>
  <c r="H664"/>
  <c r="M663"/>
  <c r="L663"/>
  <c r="K663"/>
  <c r="H663"/>
  <c r="M662"/>
  <c r="L662"/>
  <c r="K662"/>
  <c r="H662"/>
  <c r="M661"/>
  <c r="L661"/>
  <c r="K661"/>
  <c r="H661"/>
  <c r="M660"/>
  <c r="L660"/>
  <c r="K660"/>
  <c r="H660"/>
  <c r="M659"/>
  <c r="L659"/>
  <c r="K659"/>
  <c r="H659"/>
  <c r="M658"/>
  <c r="L658"/>
  <c r="K658"/>
  <c r="H658"/>
  <c r="M657"/>
  <c r="L657"/>
  <c r="K657"/>
  <c r="H657"/>
  <c r="M656"/>
  <c r="L656"/>
  <c r="K656"/>
  <c r="H656"/>
  <c r="M655"/>
  <c r="L655"/>
  <c r="K655"/>
  <c r="H655"/>
  <c r="M654"/>
  <c r="L654"/>
  <c r="K654"/>
  <c r="H654"/>
  <c r="M653"/>
  <c r="L653"/>
  <c r="K653"/>
  <c r="H653"/>
  <c r="M652"/>
  <c r="L652"/>
  <c r="K652"/>
  <c r="H652"/>
  <c r="M651"/>
  <c r="L651"/>
  <c r="K651"/>
  <c r="H651"/>
  <c r="M650"/>
  <c r="L650"/>
  <c r="K650"/>
  <c r="H650"/>
  <c r="M649"/>
  <c r="L649"/>
  <c r="K649"/>
  <c r="H649"/>
  <c r="M648"/>
  <c r="L648"/>
  <c r="K648"/>
  <c r="H648"/>
  <c r="M647"/>
  <c r="L647"/>
  <c r="K647"/>
  <c r="H647"/>
  <c r="M646"/>
  <c r="L646"/>
  <c r="K646"/>
  <c r="H646"/>
  <c r="M645"/>
  <c r="L645"/>
  <c r="K645"/>
  <c r="H645"/>
  <c r="M644"/>
  <c r="L644"/>
  <c r="K644"/>
  <c r="H644"/>
  <c r="M643"/>
  <c r="L643"/>
  <c r="K643"/>
  <c r="H643"/>
  <c r="M642"/>
  <c r="L642"/>
  <c r="K642"/>
  <c r="H642"/>
  <c r="M641"/>
  <c r="L641"/>
  <c r="K641"/>
  <c r="H641"/>
  <c r="M640"/>
  <c r="L640"/>
  <c r="K640"/>
  <c r="H640"/>
  <c r="M639"/>
  <c r="L639"/>
  <c r="K639"/>
  <c r="H639"/>
  <c r="M638"/>
  <c r="L638"/>
  <c r="K638"/>
  <c r="H638"/>
  <c r="M637"/>
  <c r="L637"/>
  <c r="K637"/>
  <c r="H637"/>
  <c r="M636"/>
  <c r="L636"/>
  <c r="K636"/>
  <c r="H636"/>
  <c r="M635"/>
  <c r="L635"/>
  <c r="K635"/>
  <c r="H635"/>
  <c r="M634"/>
  <c r="L634"/>
  <c r="K634"/>
  <c r="H634"/>
  <c r="M633"/>
  <c r="L633"/>
  <c r="K633"/>
  <c r="H633"/>
  <c r="M632"/>
  <c r="L632"/>
  <c r="K632"/>
  <c r="H632"/>
  <c r="M631"/>
  <c r="L631"/>
  <c r="K631"/>
  <c r="H631"/>
  <c r="M630"/>
  <c r="L630"/>
  <c r="K630"/>
  <c r="H630"/>
  <c r="M629"/>
  <c r="L629"/>
  <c r="K629"/>
  <c r="H629"/>
  <c r="M628"/>
  <c r="L628"/>
  <c r="K628"/>
  <c r="H628"/>
  <c r="M627"/>
  <c r="L627"/>
  <c r="K627"/>
  <c r="H627"/>
  <c r="M626"/>
  <c r="L626"/>
  <c r="K626"/>
  <c r="H626"/>
  <c r="M625"/>
  <c r="L625"/>
  <c r="K625"/>
  <c r="H625"/>
  <c r="M624"/>
  <c r="L624"/>
  <c r="K624"/>
  <c r="H624"/>
  <c r="M623"/>
  <c r="L623"/>
  <c r="K623"/>
  <c r="H623"/>
  <c r="M622"/>
  <c r="L622"/>
  <c r="K622"/>
  <c r="H622"/>
  <c r="M621"/>
  <c r="L621"/>
  <c r="K621"/>
  <c r="H621"/>
  <c r="M620"/>
  <c r="L620"/>
  <c r="K620"/>
  <c r="H620"/>
  <c r="M619"/>
  <c r="L619"/>
  <c r="K619"/>
  <c r="H619"/>
  <c r="M618"/>
  <c r="L618"/>
  <c r="K618"/>
  <c r="H618"/>
  <c r="M617"/>
  <c r="L617"/>
  <c r="K617"/>
  <c r="H617"/>
  <c r="M616"/>
  <c r="L616"/>
  <c r="K616"/>
  <c r="H616"/>
  <c r="M615"/>
  <c r="L615"/>
  <c r="K615"/>
  <c r="H615"/>
  <c r="M614"/>
  <c r="L614"/>
  <c r="K614"/>
  <c r="H614"/>
  <c r="M613"/>
  <c r="L613"/>
  <c r="K613"/>
  <c r="H613"/>
  <c r="M612"/>
  <c r="L612"/>
  <c r="K612"/>
  <c r="H612"/>
  <c r="M611"/>
  <c r="L611"/>
  <c r="K611"/>
  <c r="H611"/>
  <c r="M610"/>
  <c r="L610"/>
  <c r="K610"/>
  <c r="H610"/>
  <c r="M609"/>
  <c r="L609"/>
  <c r="K609"/>
  <c r="H609"/>
  <c r="M608"/>
  <c r="L608"/>
  <c r="K608"/>
  <c r="H608"/>
  <c r="M607"/>
  <c r="L607"/>
  <c r="K607"/>
  <c r="H607"/>
  <c r="M606"/>
  <c r="L606"/>
  <c r="K606"/>
  <c r="H606"/>
  <c r="M605"/>
  <c r="L605"/>
  <c r="K605"/>
  <c r="H605"/>
  <c r="M604"/>
  <c r="L604"/>
  <c r="K604"/>
  <c r="H604"/>
  <c r="M603"/>
  <c r="L603"/>
  <c r="K603"/>
  <c r="H603"/>
  <c r="M602"/>
  <c r="L602"/>
  <c r="K602"/>
  <c r="H602"/>
  <c r="M601"/>
  <c r="L601"/>
  <c r="K601"/>
  <c r="H601"/>
  <c r="M600"/>
  <c r="L600"/>
  <c r="K600"/>
  <c r="H600"/>
  <c r="M599"/>
  <c r="L599"/>
  <c r="K599"/>
  <c r="H599"/>
  <c r="M598"/>
  <c r="L598"/>
  <c r="K598"/>
  <c r="H598"/>
  <c r="M597"/>
  <c r="L597"/>
  <c r="K597"/>
  <c r="H597"/>
  <c r="M596"/>
  <c r="L596"/>
  <c r="K596"/>
  <c r="H596"/>
  <c r="M595"/>
  <c r="L595"/>
  <c r="K595"/>
  <c r="H595"/>
  <c r="M594"/>
  <c r="L594"/>
  <c r="K594"/>
  <c r="H594"/>
  <c r="M593"/>
  <c r="L593"/>
  <c r="K593"/>
  <c r="H593"/>
  <c r="M592"/>
  <c r="L592"/>
  <c r="K592"/>
  <c r="H592"/>
  <c r="M591"/>
  <c r="L591"/>
  <c r="K591"/>
  <c r="H591"/>
  <c r="M590"/>
  <c r="L590"/>
  <c r="K590"/>
  <c r="H590"/>
  <c r="M589"/>
  <c r="L589"/>
  <c r="K589"/>
  <c r="H589"/>
  <c r="M588"/>
  <c r="L588"/>
  <c r="K588"/>
  <c r="H588"/>
  <c r="M587"/>
  <c r="L587"/>
  <c r="K587"/>
  <c r="H587"/>
  <c r="M586"/>
  <c r="L586"/>
  <c r="K586"/>
  <c r="H586"/>
  <c r="M585"/>
  <c r="L585"/>
  <c r="K585"/>
  <c r="H585"/>
  <c r="M584"/>
  <c r="L584"/>
  <c r="K584"/>
  <c r="H584"/>
  <c r="M583"/>
  <c r="L583"/>
  <c r="K583"/>
  <c r="H583"/>
  <c r="M582"/>
  <c r="L582"/>
  <c r="K582"/>
  <c r="H582"/>
  <c r="M581"/>
  <c r="L581"/>
  <c r="K581"/>
  <c r="H581"/>
  <c r="M580"/>
  <c r="L580"/>
  <c r="K580"/>
  <c r="H580"/>
  <c r="M579"/>
  <c r="L579"/>
  <c r="K579"/>
  <c r="H579"/>
  <c r="M578"/>
  <c r="L578"/>
  <c r="K578"/>
  <c r="H578"/>
  <c r="M577"/>
  <c r="L577"/>
  <c r="K577"/>
  <c r="H577"/>
  <c r="M576"/>
  <c r="L576"/>
  <c r="K576"/>
  <c r="H576"/>
  <c r="M575"/>
  <c r="L575"/>
  <c r="K575"/>
  <c r="H575"/>
  <c r="M574"/>
  <c r="L574"/>
  <c r="K574"/>
  <c r="H574"/>
  <c r="M573"/>
  <c r="L573"/>
  <c r="K573"/>
  <c r="H573"/>
  <c r="M572"/>
  <c r="L572"/>
  <c r="K572"/>
  <c r="H572"/>
  <c r="M571"/>
  <c r="L571"/>
  <c r="K571"/>
  <c r="H571"/>
  <c r="M570"/>
  <c r="L570"/>
  <c r="K570"/>
  <c r="H570"/>
  <c r="M569"/>
  <c r="L569"/>
  <c r="K569"/>
  <c r="H569"/>
  <c r="M568"/>
  <c r="L568"/>
  <c r="K568"/>
  <c r="H568"/>
  <c r="M567"/>
  <c r="L567"/>
  <c r="K567"/>
  <c r="H567"/>
  <c r="M566"/>
  <c r="L566"/>
  <c r="K566"/>
  <c r="H566"/>
  <c r="M565"/>
  <c r="L565"/>
  <c r="K565"/>
  <c r="H565"/>
  <c r="M564"/>
  <c r="L564"/>
  <c r="K564"/>
  <c r="H564"/>
  <c r="M563"/>
  <c r="L563"/>
  <c r="K563"/>
  <c r="H563"/>
  <c r="M562"/>
  <c r="L562"/>
  <c r="K562"/>
  <c r="H562"/>
  <c r="M561"/>
  <c r="L561"/>
  <c r="K561"/>
  <c r="H561"/>
  <c r="M560"/>
  <c r="L560"/>
  <c r="K560"/>
  <c r="H560"/>
  <c r="M559"/>
  <c r="L559"/>
  <c r="K559"/>
  <c r="H559"/>
  <c r="M558"/>
  <c r="L558"/>
  <c r="K558"/>
  <c r="H558"/>
  <c r="M557"/>
  <c r="L557"/>
  <c r="K557"/>
  <c r="H557"/>
  <c r="M556"/>
  <c r="L556"/>
  <c r="K556"/>
  <c r="H556"/>
  <c r="M555"/>
  <c r="L555"/>
  <c r="K555"/>
  <c r="H555"/>
  <c r="M554"/>
  <c r="L554"/>
  <c r="K554"/>
  <c r="H554"/>
  <c r="M553"/>
  <c r="L553"/>
  <c r="K553"/>
  <c r="H553"/>
  <c r="M552"/>
  <c r="L552"/>
  <c r="K552"/>
  <c r="H552"/>
  <c r="M551"/>
  <c r="L551"/>
  <c r="K551"/>
  <c r="H551"/>
  <c r="M550"/>
  <c r="L550"/>
  <c r="K550"/>
  <c r="H550"/>
  <c r="M549"/>
  <c r="L549"/>
  <c r="K549"/>
  <c r="H549"/>
  <c r="M548"/>
  <c r="L548"/>
  <c r="K548"/>
  <c r="H548"/>
  <c r="M547"/>
  <c r="L547"/>
  <c r="K547"/>
  <c r="H547"/>
  <c r="M546"/>
  <c r="L546"/>
  <c r="K546"/>
  <c r="H546"/>
  <c r="M545"/>
  <c r="L545"/>
  <c r="K545"/>
  <c r="H545"/>
  <c r="M544"/>
  <c r="L544"/>
  <c r="K544"/>
  <c r="H544"/>
  <c r="M543"/>
  <c r="L543"/>
  <c r="K543"/>
  <c r="H543"/>
  <c r="M542"/>
  <c r="L542"/>
  <c r="K542"/>
  <c r="H542"/>
  <c r="M541"/>
  <c r="L541"/>
  <c r="K541"/>
  <c r="H541"/>
  <c r="M540"/>
  <c r="L540"/>
  <c r="K540"/>
  <c r="H540"/>
  <c r="M539"/>
  <c r="L539"/>
  <c r="K539"/>
  <c r="H539"/>
  <c r="M538"/>
  <c r="L538"/>
  <c r="K538"/>
  <c r="H538"/>
  <c r="M537"/>
  <c r="L537"/>
  <c r="K537"/>
  <c r="H537"/>
  <c r="M536"/>
  <c r="L536"/>
  <c r="K536"/>
  <c r="H536"/>
  <c r="M535"/>
  <c r="L535"/>
  <c r="K535"/>
  <c r="H535"/>
  <c r="M534"/>
  <c r="L534"/>
  <c r="K534"/>
  <c r="H534"/>
  <c r="M533"/>
  <c r="L533"/>
  <c r="K533"/>
  <c r="H533"/>
  <c r="M532"/>
  <c r="L532"/>
  <c r="K532"/>
  <c r="H532"/>
  <c r="M531"/>
  <c r="L531"/>
  <c r="K531"/>
  <c r="H531"/>
  <c r="M530"/>
  <c r="L530"/>
  <c r="K530"/>
  <c r="H530"/>
  <c r="M529"/>
  <c r="L529"/>
  <c r="K529"/>
  <c r="H529"/>
  <c r="M528"/>
  <c r="L528"/>
  <c r="K528"/>
  <c r="H528"/>
  <c r="M527"/>
  <c r="L527"/>
  <c r="K527"/>
  <c r="H527"/>
  <c r="M526"/>
  <c r="L526"/>
  <c r="K526"/>
  <c r="H526"/>
  <c r="M525"/>
  <c r="L525"/>
  <c r="K525"/>
  <c r="H525"/>
  <c r="M524"/>
  <c r="L524"/>
  <c r="K524"/>
  <c r="H524"/>
  <c r="M523"/>
  <c r="L523"/>
  <c r="K523"/>
  <c r="H523"/>
  <c r="M522"/>
  <c r="L522"/>
  <c r="K522"/>
  <c r="H522"/>
  <c r="M521"/>
  <c r="L521"/>
  <c r="K521"/>
  <c r="H521"/>
  <c r="M520"/>
  <c r="L520"/>
  <c r="K520"/>
  <c r="H520"/>
  <c r="M519"/>
  <c r="L519"/>
  <c r="K519"/>
  <c r="H519"/>
  <c r="M518"/>
  <c r="L518"/>
  <c r="K518"/>
  <c r="H518"/>
  <c r="M517"/>
  <c r="L517"/>
  <c r="K517"/>
  <c r="H517"/>
  <c r="M516"/>
  <c r="L516"/>
  <c r="K516"/>
  <c r="H516"/>
  <c r="M515"/>
  <c r="L515"/>
  <c r="K515"/>
  <c r="H515"/>
  <c r="M514"/>
  <c r="L514"/>
  <c r="K514"/>
  <c r="H514"/>
  <c r="M513"/>
  <c r="L513"/>
  <c r="K513"/>
  <c r="H513"/>
  <c r="M512"/>
  <c r="L512"/>
  <c r="K512"/>
  <c r="H512"/>
  <c r="M511"/>
  <c r="L511"/>
  <c r="K511"/>
  <c r="H511"/>
  <c r="M510"/>
  <c r="L510"/>
  <c r="K510"/>
  <c r="H510"/>
  <c r="M509"/>
  <c r="L509"/>
  <c r="K509"/>
  <c r="H509"/>
  <c r="M508"/>
  <c r="L508"/>
  <c r="K508"/>
  <c r="H508"/>
  <c r="M507"/>
  <c r="L507"/>
  <c r="K507"/>
  <c r="H507"/>
  <c r="M506"/>
  <c r="L506"/>
  <c r="K506"/>
  <c r="H506"/>
  <c r="M505"/>
  <c r="L505"/>
  <c r="K505"/>
  <c r="H505"/>
  <c r="M504"/>
  <c r="L504"/>
  <c r="K504"/>
  <c r="H504"/>
  <c r="M503"/>
  <c r="L503"/>
  <c r="K503"/>
  <c r="H503"/>
  <c r="M502"/>
  <c r="L502"/>
  <c r="K502"/>
  <c r="H502"/>
  <c r="M501"/>
  <c r="L501"/>
  <c r="K501"/>
  <c r="H501"/>
  <c r="M500"/>
  <c r="L500"/>
  <c r="K500"/>
  <c r="H500"/>
  <c r="M499"/>
  <c r="L499"/>
  <c r="K499"/>
  <c r="H499"/>
  <c r="M498"/>
  <c r="L498"/>
  <c r="K498"/>
  <c r="H498"/>
  <c r="M497"/>
  <c r="L497"/>
  <c r="K497"/>
  <c r="H497"/>
  <c r="M496"/>
  <c r="L496"/>
  <c r="K496"/>
  <c r="H496"/>
  <c r="M495"/>
  <c r="L495"/>
  <c r="K495"/>
  <c r="H495"/>
  <c r="M494"/>
  <c r="L494"/>
  <c r="K494"/>
  <c r="H494"/>
  <c r="M493"/>
  <c r="L493"/>
  <c r="K493"/>
  <c r="H493"/>
  <c r="M492"/>
  <c r="L492"/>
  <c r="K492"/>
  <c r="H492"/>
  <c r="M491"/>
  <c r="L491"/>
  <c r="K491"/>
  <c r="H491"/>
  <c r="M490"/>
  <c r="L490"/>
  <c r="K490"/>
  <c r="H490"/>
  <c r="M489"/>
  <c r="L489"/>
  <c r="K489"/>
  <c r="H489"/>
  <c r="M488"/>
  <c r="L488"/>
  <c r="K488"/>
  <c r="H488"/>
  <c r="M487"/>
  <c r="L487"/>
  <c r="K487"/>
  <c r="H487"/>
  <c r="M486"/>
  <c r="L486"/>
  <c r="K486"/>
  <c r="H486"/>
  <c r="M485"/>
  <c r="L485"/>
  <c r="K485"/>
  <c r="H485"/>
  <c r="M484"/>
  <c r="L484"/>
  <c r="K484"/>
  <c r="H484"/>
  <c r="M483"/>
  <c r="L483"/>
  <c r="K483"/>
  <c r="H483"/>
  <c r="M482"/>
  <c r="L482"/>
  <c r="K482"/>
  <c r="H482"/>
  <c r="M481"/>
  <c r="L481"/>
  <c r="K481"/>
  <c r="H481"/>
  <c r="M480"/>
  <c r="L480"/>
  <c r="K480"/>
  <c r="H480"/>
  <c r="M479"/>
  <c r="L479"/>
  <c r="K479"/>
  <c r="H479"/>
  <c r="M478"/>
  <c r="L478"/>
  <c r="K478"/>
  <c r="H478"/>
  <c r="M477"/>
  <c r="L477"/>
  <c r="K477"/>
  <c r="H477"/>
  <c r="M476"/>
  <c r="L476"/>
  <c r="K476"/>
  <c r="H476"/>
  <c r="M475"/>
  <c r="L475"/>
  <c r="K475"/>
  <c r="H475"/>
  <c r="M474"/>
  <c r="L474"/>
  <c r="K474"/>
  <c r="H474"/>
  <c r="M473"/>
  <c r="L473"/>
  <c r="K473"/>
  <c r="H473"/>
  <c r="M472"/>
  <c r="L472"/>
  <c r="K472"/>
  <c r="H472"/>
  <c r="M471"/>
  <c r="L471"/>
  <c r="K471"/>
  <c r="H471"/>
  <c r="M470"/>
  <c r="L470"/>
  <c r="K470"/>
  <c r="H470"/>
  <c r="M469"/>
  <c r="L469"/>
  <c r="K469"/>
  <c r="H469"/>
  <c r="M468"/>
  <c r="L468"/>
  <c r="K468"/>
  <c r="H468"/>
  <c r="M467"/>
  <c r="L467"/>
  <c r="K467"/>
  <c r="H467"/>
  <c r="M466"/>
  <c r="L466"/>
  <c r="K466"/>
  <c r="H466"/>
  <c r="M465"/>
  <c r="L465"/>
  <c r="K465"/>
  <c r="H465"/>
  <c r="M464"/>
  <c r="L464"/>
  <c r="K464"/>
  <c r="H464"/>
  <c r="M463"/>
  <c r="L463"/>
  <c r="K463"/>
  <c r="H463"/>
  <c r="M462"/>
  <c r="L462"/>
  <c r="K462"/>
  <c r="H462"/>
  <c r="M461"/>
  <c r="L461"/>
  <c r="K461"/>
  <c r="H461"/>
  <c r="M460"/>
  <c r="L460"/>
  <c r="K460"/>
  <c r="H460"/>
  <c r="M459"/>
  <c r="L459"/>
  <c r="K459"/>
  <c r="H459"/>
  <c r="M458"/>
  <c r="L458"/>
  <c r="K458"/>
  <c r="H458"/>
  <c r="M457"/>
  <c r="L457"/>
  <c r="K457"/>
  <c r="H457"/>
  <c r="M456"/>
  <c r="L456"/>
  <c r="K456"/>
  <c r="H456"/>
  <c r="M455"/>
  <c r="L455"/>
  <c r="K455"/>
  <c r="H455"/>
  <c r="M454"/>
  <c r="L454"/>
  <c r="K454"/>
  <c r="H454"/>
  <c r="M453"/>
  <c r="L453"/>
  <c r="K453"/>
  <c r="H453"/>
  <c r="M452"/>
  <c r="L452"/>
  <c r="K452"/>
  <c r="H452"/>
  <c r="M451"/>
  <c r="L451"/>
  <c r="K451"/>
  <c r="H451"/>
  <c r="M450"/>
  <c r="L450"/>
  <c r="K450"/>
  <c r="H450"/>
  <c r="M449"/>
  <c r="L449"/>
  <c r="K449"/>
  <c r="H449"/>
  <c r="M448"/>
  <c r="L448"/>
  <c r="K448"/>
  <c r="H448"/>
  <c r="M447"/>
  <c r="L447"/>
  <c r="K447"/>
  <c r="H447"/>
  <c r="M446"/>
  <c r="L446"/>
  <c r="K446"/>
  <c r="H446"/>
  <c r="M445"/>
  <c r="L445"/>
  <c r="K445"/>
  <c r="H445"/>
  <c r="M444"/>
  <c r="L444"/>
  <c r="K444"/>
  <c r="H444"/>
  <c r="M443"/>
  <c r="L443"/>
  <c r="K443"/>
  <c r="H443"/>
  <c r="M442"/>
  <c r="L442"/>
  <c r="K442"/>
  <c r="H442"/>
  <c r="M441"/>
  <c r="L441"/>
  <c r="K441"/>
  <c r="H441"/>
  <c r="M440"/>
  <c r="L440"/>
  <c r="K440"/>
  <c r="H440"/>
  <c r="M439"/>
  <c r="L439"/>
  <c r="K439"/>
  <c r="H439"/>
  <c r="M438"/>
  <c r="L438"/>
  <c r="K438"/>
  <c r="H438"/>
  <c r="M437"/>
  <c r="L437"/>
  <c r="K437"/>
  <c r="H437"/>
  <c r="M436"/>
  <c r="L436"/>
  <c r="K436"/>
  <c r="H436"/>
  <c r="M435"/>
  <c r="L435"/>
  <c r="K435"/>
  <c r="H435"/>
  <c r="M434"/>
  <c r="L434"/>
  <c r="K434"/>
  <c r="H434"/>
  <c r="M433"/>
  <c r="L433"/>
  <c r="K433"/>
  <c r="H433"/>
  <c r="M432"/>
  <c r="L432"/>
  <c r="K432"/>
  <c r="H432"/>
  <c r="M431"/>
  <c r="L431"/>
  <c r="K431"/>
  <c r="H431"/>
  <c r="M430"/>
  <c r="L430"/>
  <c r="K430"/>
  <c r="H430"/>
  <c r="M429"/>
  <c r="L429"/>
  <c r="K429"/>
  <c r="H429"/>
  <c r="M428"/>
  <c r="L428"/>
  <c r="K428"/>
  <c r="H428"/>
  <c r="M427"/>
  <c r="L427"/>
  <c r="K427"/>
  <c r="H427"/>
  <c r="M426"/>
  <c r="L426"/>
  <c r="K426"/>
  <c r="H426"/>
  <c r="M425"/>
  <c r="L425"/>
  <c r="K425"/>
  <c r="H425"/>
  <c r="M424"/>
  <c r="L424"/>
  <c r="K424"/>
  <c r="H424"/>
  <c r="M423"/>
  <c r="L423"/>
  <c r="K423"/>
  <c r="H423"/>
  <c r="M422"/>
  <c r="L422"/>
  <c r="K422"/>
  <c r="H422"/>
  <c r="M421"/>
  <c r="L421"/>
  <c r="K421"/>
  <c r="H421"/>
  <c r="M420"/>
  <c r="L420"/>
  <c r="K420"/>
  <c r="H420"/>
  <c r="M419"/>
  <c r="L419"/>
  <c r="K419"/>
  <c r="H419"/>
  <c r="M418"/>
  <c r="L418"/>
  <c r="K418"/>
  <c r="H418"/>
  <c r="M417"/>
  <c r="L417"/>
  <c r="K417"/>
  <c r="H417"/>
  <c r="M416"/>
  <c r="L416"/>
  <c r="K416"/>
  <c r="H416"/>
  <c r="M415"/>
  <c r="L415"/>
  <c r="K415"/>
  <c r="H415"/>
  <c r="M414"/>
  <c r="L414"/>
  <c r="K414"/>
  <c r="H414"/>
  <c r="M413"/>
  <c r="L413"/>
  <c r="K413"/>
  <c r="H413"/>
  <c r="M412"/>
  <c r="L412"/>
  <c r="K412"/>
  <c r="H412"/>
  <c r="M411"/>
  <c r="L411"/>
  <c r="K411"/>
  <c r="H411"/>
  <c r="M410"/>
  <c r="L410"/>
  <c r="K410"/>
  <c r="H410"/>
  <c r="M409"/>
  <c r="L409"/>
  <c r="K409"/>
  <c r="H409"/>
  <c r="M408"/>
  <c r="L408"/>
  <c r="K408"/>
  <c r="H408"/>
  <c r="M407"/>
  <c r="L407"/>
  <c r="K407"/>
  <c r="H407"/>
  <c r="M406"/>
  <c r="L406"/>
  <c r="K406"/>
  <c r="H406"/>
  <c r="M405"/>
  <c r="L405"/>
  <c r="K405"/>
  <c r="H405"/>
  <c r="M404"/>
  <c r="L404"/>
  <c r="K404"/>
  <c r="H404"/>
  <c r="M403"/>
  <c r="L403"/>
  <c r="K403"/>
  <c r="H403"/>
  <c r="M402"/>
  <c r="L402"/>
  <c r="K402"/>
  <c r="H402"/>
  <c r="M401"/>
  <c r="L401"/>
  <c r="K401"/>
  <c r="H401"/>
  <c r="M400"/>
  <c r="L400"/>
  <c r="K400"/>
  <c r="H400"/>
  <c r="M399"/>
  <c r="L399"/>
  <c r="K399"/>
  <c r="H399"/>
  <c r="M398"/>
  <c r="L398"/>
  <c r="K398"/>
  <c r="H398"/>
  <c r="M397"/>
  <c r="L397"/>
  <c r="K397"/>
  <c r="H397"/>
  <c r="M396"/>
  <c r="L396"/>
  <c r="K396"/>
  <c r="H396"/>
  <c r="M395"/>
  <c r="L395"/>
  <c r="K395"/>
  <c r="H395"/>
  <c r="M394"/>
  <c r="L394"/>
  <c r="K394"/>
  <c r="H394"/>
  <c r="M393"/>
  <c r="L393"/>
  <c r="K393"/>
  <c r="H393"/>
  <c r="M392"/>
  <c r="L392"/>
  <c r="K392"/>
  <c r="H392"/>
  <c r="M391"/>
  <c r="L391"/>
  <c r="K391"/>
  <c r="H391"/>
  <c r="M390"/>
  <c r="L390"/>
  <c r="K390"/>
  <c r="H390"/>
  <c r="M389"/>
  <c r="L389"/>
  <c r="K389"/>
  <c r="H389"/>
  <c r="M388"/>
  <c r="L388"/>
  <c r="K388"/>
  <c r="H388"/>
  <c r="M387"/>
  <c r="L387"/>
  <c r="K387"/>
  <c r="H387"/>
  <c r="M386"/>
  <c r="L386"/>
  <c r="K386"/>
  <c r="H386"/>
  <c r="M385"/>
  <c r="L385"/>
  <c r="K385"/>
  <c r="H385"/>
  <c r="M384"/>
  <c r="L384"/>
  <c r="K384"/>
  <c r="H384"/>
  <c r="M383"/>
  <c r="L383"/>
  <c r="K383"/>
  <c r="H383"/>
  <c r="M382"/>
  <c r="L382"/>
  <c r="K382"/>
  <c r="H382"/>
  <c r="M381"/>
  <c r="L381"/>
  <c r="K381"/>
  <c r="H381"/>
  <c r="M380"/>
  <c r="L380"/>
  <c r="K380"/>
  <c r="H380"/>
  <c r="M379"/>
  <c r="L379"/>
  <c r="K379"/>
  <c r="H379"/>
  <c r="M378"/>
  <c r="L378"/>
  <c r="K378"/>
  <c r="H378"/>
  <c r="M377"/>
  <c r="L377"/>
  <c r="K377"/>
  <c r="H377"/>
  <c r="M376"/>
  <c r="L376"/>
  <c r="K376"/>
  <c r="H376"/>
  <c r="M375"/>
  <c r="L375"/>
  <c r="K375"/>
  <c r="H375"/>
  <c r="M374"/>
  <c r="L374"/>
  <c r="K374"/>
  <c r="H374"/>
  <c r="M373"/>
  <c r="L373"/>
  <c r="K373"/>
  <c r="H373"/>
  <c r="M372"/>
  <c r="L372"/>
  <c r="K372"/>
  <c r="H372"/>
  <c r="M371"/>
  <c r="L371"/>
  <c r="K371"/>
  <c r="H371"/>
  <c r="M370"/>
  <c r="L370"/>
  <c r="K370"/>
  <c r="H370"/>
  <c r="M369"/>
  <c r="L369"/>
  <c r="K369"/>
  <c r="H369"/>
  <c r="M368"/>
  <c r="L368"/>
  <c r="K368"/>
  <c r="H368"/>
  <c r="M367"/>
  <c r="L367"/>
  <c r="K367"/>
  <c r="H367"/>
  <c r="M366"/>
  <c r="L366"/>
  <c r="K366"/>
  <c r="H366"/>
  <c r="M365"/>
  <c r="L365"/>
  <c r="K365"/>
  <c r="H365"/>
  <c r="M364"/>
  <c r="L364"/>
  <c r="K364"/>
  <c r="H364"/>
  <c r="M363"/>
  <c r="L363"/>
  <c r="K363"/>
  <c r="H363"/>
  <c r="M362"/>
  <c r="L362"/>
  <c r="K362"/>
  <c r="H362"/>
  <c r="M361"/>
  <c r="L361"/>
  <c r="K361"/>
  <c r="H361"/>
  <c r="M360"/>
  <c r="L360"/>
  <c r="K360"/>
  <c r="H360"/>
  <c r="M359"/>
  <c r="L359"/>
  <c r="K359"/>
  <c r="H359"/>
  <c r="M358"/>
  <c r="L358"/>
  <c r="K358"/>
  <c r="H358"/>
  <c r="M357"/>
  <c r="L357"/>
  <c r="K357"/>
  <c r="H357"/>
  <c r="M356"/>
  <c r="L356"/>
  <c r="K356"/>
  <c r="H356"/>
  <c r="M355"/>
  <c r="L355"/>
  <c r="K355"/>
  <c r="H355"/>
  <c r="M354"/>
  <c r="L354"/>
  <c r="K354"/>
  <c r="H354"/>
  <c r="M353"/>
  <c r="L353"/>
  <c r="K353"/>
  <c r="H353"/>
  <c r="M352"/>
  <c r="L352"/>
  <c r="K352"/>
  <c r="H352"/>
  <c r="M351"/>
  <c r="L351"/>
  <c r="K351"/>
  <c r="H351"/>
  <c r="M350"/>
  <c r="L350"/>
  <c r="K350"/>
  <c r="H350"/>
  <c r="M349"/>
  <c r="L349"/>
  <c r="K349"/>
  <c r="H349"/>
  <c r="M348"/>
  <c r="L348"/>
  <c r="K348"/>
  <c r="H348"/>
  <c r="M347"/>
  <c r="L347"/>
  <c r="K347"/>
  <c r="H347"/>
  <c r="M346"/>
  <c r="L346"/>
  <c r="K346"/>
  <c r="H346"/>
  <c r="M345"/>
  <c r="L345"/>
  <c r="K345"/>
  <c r="H345"/>
  <c r="M344"/>
  <c r="L344"/>
  <c r="K344"/>
  <c r="H344"/>
  <c r="M343"/>
  <c r="L343"/>
  <c r="K343"/>
  <c r="H343"/>
  <c r="M342"/>
  <c r="L342"/>
  <c r="K342"/>
  <c r="H342"/>
  <c r="M341"/>
  <c r="L341"/>
  <c r="K341"/>
  <c r="H341"/>
  <c r="M340"/>
  <c r="L340"/>
  <c r="K340"/>
  <c r="H340"/>
  <c r="M339"/>
  <c r="L339"/>
  <c r="K339"/>
  <c r="H339"/>
  <c r="M338"/>
  <c r="L338"/>
  <c r="K338"/>
  <c r="H338"/>
  <c r="M337"/>
  <c r="L337"/>
  <c r="K337"/>
  <c r="H337"/>
  <c r="M336"/>
  <c r="L336"/>
  <c r="K336"/>
  <c r="H336"/>
  <c r="M335"/>
  <c r="L335"/>
  <c r="K335"/>
  <c r="H335"/>
  <c r="M334"/>
  <c r="L334"/>
  <c r="K334"/>
  <c r="H334"/>
  <c r="M333"/>
  <c r="L333"/>
  <c r="K333"/>
  <c r="H333"/>
  <c r="M332"/>
  <c r="L332"/>
  <c r="K332"/>
  <c r="H332"/>
  <c r="M331"/>
  <c r="L331"/>
  <c r="K331"/>
  <c r="H331"/>
  <c r="M330"/>
  <c r="L330"/>
  <c r="K330"/>
  <c r="H330"/>
  <c r="M329"/>
  <c r="L329"/>
  <c r="K329"/>
  <c r="H329"/>
  <c r="M328"/>
  <c r="L328"/>
  <c r="K328"/>
  <c r="H328"/>
  <c r="M327"/>
  <c r="L327"/>
  <c r="K327"/>
  <c r="H327"/>
  <c r="M326"/>
  <c r="L326"/>
  <c r="K326"/>
  <c r="H326"/>
  <c r="M325"/>
  <c r="L325"/>
  <c r="K325"/>
  <c r="H325"/>
  <c r="M324"/>
  <c r="L324"/>
  <c r="K324"/>
  <c r="H324"/>
  <c r="M323"/>
  <c r="L323"/>
  <c r="K323"/>
  <c r="H323"/>
  <c r="M322"/>
  <c r="L322"/>
  <c r="K322"/>
  <c r="H322"/>
  <c r="M321"/>
  <c r="L321"/>
  <c r="K321"/>
  <c r="H321"/>
  <c r="M320"/>
  <c r="L320"/>
  <c r="K320"/>
  <c r="H320"/>
  <c r="M319"/>
  <c r="L319"/>
  <c r="K319"/>
  <c r="H319"/>
  <c r="M318"/>
  <c r="L318"/>
  <c r="K318"/>
  <c r="H318"/>
  <c r="M317"/>
  <c r="L317"/>
  <c r="K317"/>
  <c r="H317"/>
  <c r="M316"/>
  <c r="L316"/>
  <c r="K316"/>
  <c r="H316"/>
  <c r="M315"/>
  <c r="L315"/>
  <c r="K315"/>
  <c r="H315"/>
  <c r="M314"/>
  <c r="L314"/>
  <c r="K314"/>
  <c r="H314"/>
  <c r="M313"/>
  <c r="L313"/>
  <c r="K313"/>
  <c r="H313"/>
  <c r="M312"/>
  <c r="L312"/>
  <c r="K312"/>
  <c r="H312"/>
  <c r="M311"/>
  <c r="L311"/>
  <c r="K311"/>
  <c r="H311"/>
  <c r="M310"/>
  <c r="L310"/>
  <c r="K310"/>
  <c r="H310"/>
  <c r="M309"/>
  <c r="L309"/>
  <c r="K309"/>
  <c r="H309"/>
  <c r="M308"/>
  <c r="L308"/>
  <c r="K308"/>
  <c r="H308"/>
  <c r="M307"/>
  <c r="L307"/>
  <c r="K307"/>
  <c r="H307"/>
  <c r="M306"/>
  <c r="L306"/>
  <c r="K306"/>
  <c r="H306"/>
  <c r="M305"/>
  <c r="L305"/>
  <c r="K305"/>
  <c r="H305"/>
  <c r="M304"/>
  <c r="L304"/>
  <c r="K304"/>
  <c r="H304"/>
  <c r="M303"/>
  <c r="L303"/>
  <c r="K303"/>
  <c r="H303"/>
  <c r="M302"/>
  <c r="L302"/>
  <c r="K302"/>
  <c r="H302"/>
  <c r="M301"/>
  <c r="L301"/>
  <c r="K301"/>
  <c r="H301"/>
  <c r="M300"/>
  <c r="L300"/>
  <c r="K300"/>
  <c r="H300"/>
  <c r="M299"/>
  <c r="L299"/>
  <c r="K299"/>
  <c r="H299"/>
  <c r="M298"/>
  <c r="L298"/>
  <c r="K298"/>
  <c r="H298"/>
  <c r="M297"/>
  <c r="L297"/>
  <c r="K297"/>
  <c r="H297"/>
  <c r="M296"/>
  <c r="L296"/>
  <c r="K296"/>
  <c r="H296"/>
  <c r="M295"/>
  <c r="L295"/>
  <c r="K295"/>
  <c r="H295"/>
  <c r="M294"/>
  <c r="L294"/>
  <c r="K294"/>
  <c r="H294"/>
  <c r="M293"/>
  <c r="L293"/>
  <c r="K293"/>
  <c r="H293"/>
  <c r="M292"/>
  <c r="L292"/>
  <c r="K292"/>
  <c r="H292"/>
  <c r="M291"/>
  <c r="L291"/>
  <c r="K291"/>
  <c r="H291"/>
  <c r="M290"/>
  <c r="L290"/>
  <c r="K290"/>
  <c r="H290"/>
  <c r="M289"/>
  <c r="L289"/>
  <c r="K289"/>
  <c r="H289"/>
  <c r="M288"/>
  <c r="L288"/>
  <c r="K288"/>
  <c r="H288"/>
  <c r="M287"/>
  <c r="L287"/>
  <c r="K287"/>
  <c r="H287"/>
  <c r="M286"/>
  <c r="L286"/>
  <c r="K286"/>
  <c r="H286"/>
  <c r="M285"/>
  <c r="L285"/>
  <c r="K285"/>
  <c r="H285"/>
  <c r="M284"/>
  <c r="L284"/>
  <c r="K284"/>
  <c r="H284"/>
  <c r="M283"/>
  <c r="L283"/>
  <c r="K283"/>
  <c r="H283"/>
  <c r="M282"/>
  <c r="L282"/>
  <c r="K282"/>
  <c r="H282"/>
  <c r="M281"/>
  <c r="L281"/>
  <c r="K281"/>
  <c r="H281"/>
  <c r="M280"/>
  <c r="L280"/>
  <c r="K280"/>
  <c r="H280"/>
  <c r="M279"/>
  <c r="L279"/>
  <c r="K279"/>
  <c r="H279"/>
  <c r="M278"/>
  <c r="L278"/>
  <c r="K278"/>
  <c r="H278"/>
  <c r="M277"/>
  <c r="L277"/>
  <c r="K277"/>
  <c r="H277"/>
  <c r="M276"/>
  <c r="L276"/>
  <c r="K276"/>
  <c r="H276"/>
  <c r="M275"/>
  <c r="L275"/>
  <c r="K275"/>
  <c r="H275"/>
  <c r="M274"/>
  <c r="L274"/>
  <c r="K274"/>
  <c r="H274"/>
  <c r="M273"/>
  <c r="L273"/>
  <c r="K273"/>
  <c r="H273"/>
  <c r="M272"/>
  <c r="L272"/>
  <c r="K272"/>
  <c r="H272"/>
  <c r="M271"/>
  <c r="L271"/>
  <c r="K271"/>
  <c r="H271"/>
  <c r="M270"/>
  <c r="L270"/>
  <c r="K270"/>
  <c r="H270"/>
  <c r="M269"/>
  <c r="L269"/>
  <c r="K269"/>
  <c r="H269"/>
  <c r="M268"/>
  <c r="L268"/>
  <c r="K268"/>
  <c r="H268"/>
  <c r="M267"/>
  <c r="L267"/>
  <c r="K267"/>
  <c r="H267"/>
  <c r="M266"/>
  <c r="L266"/>
  <c r="K266"/>
  <c r="H266"/>
  <c r="M265"/>
  <c r="L265"/>
  <c r="K265"/>
  <c r="H265"/>
  <c r="M264"/>
  <c r="L264"/>
  <c r="K264"/>
  <c r="H264"/>
  <c r="M263"/>
  <c r="L263"/>
  <c r="K263"/>
  <c r="H263"/>
  <c r="M262"/>
  <c r="L262"/>
  <c r="K262"/>
  <c r="H262"/>
  <c r="M261"/>
  <c r="L261"/>
  <c r="K261"/>
  <c r="H261"/>
  <c r="M260"/>
  <c r="L260"/>
  <c r="K260"/>
  <c r="H260"/>
  <c r="M259"/>
  <c r="L259"/>
  <c r="K259"/>
  <c r="H259"/>
  <c r="M258"/>
  <c r="L258"/>
  <c r="K258"/>
  <c r="H258"/>
  <c r="M257"/>
  <c r="L257"/>
  <c r="K257"/>
  <c r="H257"/>
  <c r="M256"/>
  <c r="L256"/>
  <c r="K256"/>
  <c r="H256"/>
  <c r="M255"/>
  <c r="L255"/>
  <c r="K255"/>
  <c r="H255"/>
  <c r="M254"/>
  <c r="L254"/>
  <c r="K254"/>
  <c r="H254"/>
  <c r="M253"/>
  <c r="L253"/>
  <c r="K253"/>
  <c r="H253"/>
  <c r="M252"/>
  <c r="L252"/>
  <c r="K252"/>
  <c r="H252"/>
  <c r="M251"/>
  <c r="L251"/>
  <c r="K251"/>
  <c r="H251"/>
  <c r="M250"/>
  <c r="L250"/>
  <c r="K250"/>
  <c r="H250"/>
  <c r="M249"/>
  <c r="L249"/>
  <c r="K249"/>
  <c r="H249"/>
  <c r="M248"/>
  <c r="L248"/>
  <c r="K248"/>
  <c r="H248"/>
  <c r="M247"/>
  <c r="L247"/>
  <c r="K247"/>
  <c r="H247"/>
  <c r="M246"/>
  <c r="L246"/>
  <c r="K246"/>
  <c r="H246"/>
  <c r="M245"/>
  <c r="L245"/>
  <c r="K245"/>
  <c r="H245"/>
  <c r="M244"/>
  <c r="L244"/>
  <c r="K244"/>
  <c r="H244"/>
  <c r="M243"/>
  <c r="L243"/>
  <c r="K243"/>
  <c r="H243"/>
  <c r="M242"/>
  <c r="L242"/>
  <c r="K242"/>
  <c r="H242"/>
  <c r="M241"/>
  <c r="L241"/>
  <c r="K241"/>
  <c r="H241"/>
  <c r="M240"/>
  <c r="L240"/>
  <c r="K240"/>
  <c r="H240"/>
  <c r="M239"/>
  <c r="L239"/>
  <c r="K239"/>
  <c r="H239"/>
  <c r="M238"/>
  <c r="L238"/>
  <c r="K238"/>
  <c r="H238"/>
  <c r="M237"/>
  <c r="L237"/>
  <c r="K237"/>
  <c r="H237"/>
  <c r="M236"/>
  <c r="L236"/>
  <c r="K236"/>
  <c r="H236"/>
  <c r="M235"/>
  <c r="L235"/>
  <c r="K235"/>
  <c r="H235"/>
  <c r="M234"/>
  <c r="L234"/>
  <c r="K234"/>
  <c r="H234"/>
  <c r="M233"/>
  <c r="L233"/>
  <c r="K233"/>
  <c r="H233"/>
  <c r="M232"/>
  <c r="L232"/>
  <c r="K232"/>
  <c r="H232"/>
  <c r="M231"/>
  <c r="L231"/>
  <c r="K231"/>
  <c r="H231"/>
  <c r="M230"/>
  <c r="L230"/>
  <c r="K230"/>
  <c r="H230"/>
  <c r="M229"/>
  <c r="L229"/>
  <c r="K229"/>
  <c r="H229"/>
  <c r="M228"/>
  <c r="L228"/>
  <c r="K228"/>
  <c r="H228"/>
  <c r="M227"/>
  <c r="L227"/>
  <c r="K227"/>
  <c r="H227"/>
  <c r="M226"/>
  <c r="L226"/>
  <c r="K226"/>
  <c r="H226"/>
  <c r="M225"/>
  <c r="L225"/>
  <c r="K225"/>
  <c r="H225"/>
  <c r="M224"/>
  <c r="L224"/>
  <c r="K224"/>
  <c r="H224"/>
  <c r="M223"/>
  <c r="L223"/>
  <c r="K223"/>
  <c r="H223"/>
  <c r="M222"/>
  <c r="L222"/>
  <c r="K222"/>
  <c r="H222"/>
  <c r="M221"/>
  <c r="L221"/>
  <c r="K221"/>
  <c r="H221"/>
  <c r="M220"/>
  <c r="L220"/>
  <c r="K220"/>
  <c r="H220"/>
  <c r="M219"/>
  <c r="L219"/>
  <c r="K219"/>
  <c r="H219"/>
  <c r="M218"/>
  <c r="L218"/>
  <c r="K218"/>
  <c r="H218"/>
  <c r="M217"/>
  <c r="L217"/>
  <c r="K217"/>
  <c r="H217"/>
  <c r="M216"/>
  <c r="L216"/>
  <c r="K216"/>
  <c r="H216"/>
  <c r="M215"/>
  <c r="L215"/>
  <c r="K215"/>
  <c r="H215"/>
  <c r="M214"/>
  <c r="L214"/>
  <c r="K214"/>
  <c r="H214"/>
  <c r="M213"/>
  <c r="L213"/>
  <c r="K213"/>
  <c r="H213"/>
  <c r="M212"/>
  <c r="L212"/>
  <c r="K212"/>
  <c r="H212"/>
  <c r="M211"/>
  <c r="L211"/>
  <c r="K211"/>
  <c r="H211"/>
  <c r="M210"/>
  <c r="L210"/>
  <c r="K210"/>
  <c r="H210"/>
  <c r="M209"/>
  <c r="L209"/>
  <c r="K209"/>
  <c r="H209"/>
  <c r="M208"/>
  <c r="L208"/>
  <c r="K208"/>
  <c r="H208"/>
  <c r="M207"/>
  <c r="L207"/>
  <c r="K207"/>
  <c r="H207"/>
  <c r="M206"/>
  <c r="L206"/>
  <c r="K206"/>
  <c r="H206"/>
  <c r="M205"/>
  <c r="L205"/>
  <c r="K205"/>
  <c r="H205"/>
  <c r="M204"/>
  <c r="L204"/>
  <c r="K204"/>
  <c r="H204"/>
  <c r="M203"/>
  <c r="L203"/>
  <c r="K203"/>
  <c r="H203"/>
  <c r="M202"/>
  <c r="L202"/>
  <c r="K202"/>
  <c r="H202"/>
  <c r="M201"/>
  <c r="L201"/>
  <c r="K201"/>
  <c r="H201"/>
  <c r="M200"/>
  <c r="L200"/>
  <c r="K200"/>
  <c r="H200"/>
  <c r="M199"/>
  <c r="L199"/>
  <c r="K199"/>
  <c r="H199"/>
  <c r="M198"/>
  <c r="L198"/>
  <c r="K198"/>
  <c r="H198"/>
  <c r="M197"/>
  <c r="L197"/>
  <c r="K197"/>
  <c r="H197"/>
  <c r="M196"/>
  <c r="L196"/>
  <c r="K196"/>
  <c r="H196"/>
  <c r="M195"/>
  <c r="L195"/>
  <c r="K195"/>
  <c r="H195"/>
  <c r="M194"/>
  <c r="L194"/>
  <c r="K194"/>
  <c r="H194"/>
  <c r="M193"/>
  <c r="L193"/>
  <c r="K193"/>
  <c r="H193"/>
  <c r="M192"/>
  <c r="L192"/>
  <c r="K192"/>
  <c r="H192"/>
  <c r="M191"/>
  <c r="L191"/>
  <c r="K191"/>
  <c r="H191"/>
  <c r="M190"/>
  <c r="L190"/>
  <c r="K190"/>
  <c r="H190"/>
  <c r="M189"/>
  <c r="L189"/>
  <c r="K189"/>
  <c r="H189"/>
  <c r="M188"/>
  <c r="L188"/>
  <c r="K188"/>
  <c r="H188"/>
  <c r="M187"/>
  <c r="L187"/>
  <c r="K187"/>
  <c r="H187"/>
  <c r="M186"/>
  <c r="L186"/>
  <c r="K186"/>
  <c r="H186"/>
  <c r="M185"/>
  <c r="L185"/>
  <c r="K185"/>
  <c r="H185"/>
  <c r="M184"/>
  <c r="L184"/>
  <c r="K184"/>
  <c r="H184"/>
  <c r="M183"/>
  <c r="L183"/>
  <c r="K183"/>
  <c r="H183"/>
  <c r="M182"/>
  <c r="L182"/>
  <c r="K182"/>
  <c r="H182"/>
  <c r="M181"/>
  <c r="L181"/>
  <c r="K181"/>
  <c r="H181"/>
  <c r="M180"/>
  <c r="L180"/>
  <c r="K180"/>
  <c r="H180"/>
  <c r="M179"/>
  <c r="L179"/>
  <c r="K179"/>
  <c r="H179"/>
  <c r="M178"/>
  <c r="L178"/>
  <c r="K178"/>
  <c r="H178"/>
  <c r="M177"/>
  <c r="L177"/>
  <c r="K177"/>
  <c r="H177"/>
  <c r="M176"/>
  <c r="L176"/>
  <c r="K176"/>
  <c r="H176"/>
  <c r="M175"/>
  <c r="L175"/>
  <c r="K175"/>
  <c r="H175"/>
  <c r="M174"/>
  <c r="L174"/>
  <c r="K174"/>
  <c r="H174"/>
  <c r="M173"/>
  <c r="L173"/>
  <c r="K173"/>
  <c r="H173"/>
  <c r="M172"/>
  <c r="L172"/>
  <c r="K172"/>
  <c r="H172"/>
  <c r="M171"/>
  <c r="L171"/>
  <c r="K171"/>
  <c r="H171"/>
  <c r="M170"/>
  <c r="L170"/>
  <c r="K170"/>
  <c r="H170"/>
  <c r="M169"/>
  <c r="L169"/>
  <c r="K169"/>
  <c r="H169"/>
  <c r="M168"/>
  <c r="L168"/>
  <c r="K168"/>
  <c r="H168"/>
  <c r="M167"/>
  <c r="L167"/>
  <c r="K167"/>
  <c r="H167"/>
  <c r="M166"/>
  <c r="L166"/>
  <c r="K166"/>
  <c r="H166"/>
  <c r="M165"/>
  <c r="L165"/>
  <c r="K165"/>
  <c r="H165"/>
  <c r="M164"/>
  <c r="L164"/>
  <c r="K164"/>
  <c r="H164"/>
  <c r="M163"/>
  <c r="L163"/>
  <c r="K163"/>
  <c r="H163"/>
  <c r="M162"/>
  <c r="L162"/>
  <c r="K162"/>
  <c r="H162"/>
  <c r="M161"/>
  <c r="L161"/>
  <c r="K161"/>
  <c r="H161"/>
  <c r="M160"/>
  <c r="L160"/>
  <c r="K160"/>
  <c r="H160"/>
  <c r="M159"/>
  <c r="L159"/>
  <c r="K159"/>
  <c r="H159"/>
  <c r="M158"/>
  <c r="L158"/>
  <c r="K158"/>
  <c r="H158"/>
  <c r="M157"/>
  <c r="L157"/>
  <c r="K157"/>
  <c r="H157"/>
  <c r="M156"/>
  <c r="L156"/>
  <c r="K156"/>
  <c r="H156"/>
  <c r="M155"/>
  <c r="L155"/>
  <c r="K155"/>
  <c r="H155"/>
  <c r="M154"/>
  <c r="L154"/>
  <c r="K154"/>
  <c r="H154"/>
  <c r="M153"/>
  <c r="L153"/>
  <c r="K153"/>
  <c r="H153"/>
  <c r="M152"/>
  <c r="L152"/>
  <c r="K152"/>
  <c r="H152"/>
  <c r="M151"/>
  <c r="L151"/>
  <c r="K151"/>
  <c r="H151"/>
  <c r="M150"/>
  <c r="L150"/>
  <c r="K150"/>
  <c r="H150"/>
  <c r="M149"/>
  <c r="L149"/>
  <c r="K149"/>
  <c r="H149"/>
  <c r="M148"/>
  <c r="L148"/>
  <c r="K148"/>
  <c r="H148"/>
  <c r="M147"/>
  <c r="L147"/>
  <c r="K147"/>
  <c r="H147"/>
  <c r="M146"/>
  <c r="L146"/>
  <c r="K146"/>
  <c r="H146"/>
  <c r="M145"/>
  <c r="L145"/>
  <c r="K145"/>
  <c r="H145"/>
  <c r="M144"/>
  <c r="L144"/>
  <c r="K144"/>
  <c r="H144"/>
  <c r="M143"/>
  <c r="L143"/>
  <c r="K143"/>
  <c r="H143"/>
  <c r="M142"/>
  <c r="L142"/>
  <c r="K142"/>
  <c r="H142"/>
  <c r="M141"/>
  <c r="L141"/>
  <c r="K141"/>
  <c r="H141"/>
  <c r="M140"/>
  <c r="L140"/>
  <c r="K140"/>
  <c r="H140"/>
  <c r="M139"/>
  <c r="L139"/>
  <c r="K139"/>
  <c r="H139"/>
  <c r="M138"/>
  <c r="L138"/>
  <c r="K138"/>
  <c r="H138"/>
  <c r="M137"/>
  <c r="L137"/>
  <c r="K137"/>
  <c r="H137"/>
  <c r="M136"/>
  <c r="L136"/>
  <c r="K136"/>
  <c r="H136"/>
  <c r="M135"/>
  <c r="L135"/>
  <c r="K135"/>
  <c r="H135"/>
  <c r="M134"/>
  <c r="L134"/>
  <c r="K134"/>
  <c r="H134"/>
  <c r="M133"/>
  <c r="L133"/>
  <c r="K133"/>
  <c r="H133"/>
  <c r="M132"/>
  <c r="L132"/>
  <c r="K132"/>
  <c r="H132"/>
  <c r="M131"/>
  <c r="L131"/>
  <c r="K131"/>
  <c r="H131"/>
  <c r="M130"/>
  <c r="L130"/>
  <c r="K130"/>
  <c r="H130"/>
  <c r="M129"/>
  <c r="L129"/>
  <c r="K129"/>
  <c r="H129"/>
  <c r="M128"/>
  <c r="L128"/>
  <c r="K128"/>
  <c r="H128"/>
  <c r="M127"/>
  <c r="L127"/>
  <c r="K127"/>
  <c r="H127"/>
  <c r="M126"/>
  <c r="L126"/>
  <c r="K126"/>
  <c r="H126"/>
  <c r="M125"/>
  <c r="L125"/>
  <c r="K125"/>
  <c r="H125"/>
  <c r="M124"/>
  <c r="L124"/>
  <c r="K124"/>
  <c r="H124"/>
  <c r="M123"/>
  <c r="L123"/>
  <c r="K123"/>
  <c r="H123"/>
  <c r="M122"/>
  <c r="L122"/>
  <c r="K122"/>
  <c r="H122"/>
  <c r="M121"/>
  <c r="L121"/>
  <c r="K121"/>
  <c r="H121"/>
  <c r="M120"/>
  <c r="L120"/>
  <c r="K120"/>
  <c r="H120"/>
  <c r="M119"/>
  <c r="L119"/>
  <c r="K119"/>
  <c r="H119"/>
  <c r="M118"/>
  <c r="L118"/>
  <c r="K118"/>
  <c r="H118"/>
  <c r="M117"/>
  <c r="L117"/>
  <c r="K117"/>
  <c r="H117"/>
  <c r="M116"/>
  <c r="L116"/>
  <c r="K116"/>
  <c r="H116"/>
  <c r="M115"/>
  <c r="L115"/>
  <c r="K115"/>
  <c r="H115"/>
  <c r="M114"/>
  <c r="L114"/>
  <c r="K114"/>
  <c r="H114"/>
  <c r="M113"/>
  <c r="L113"/>
  <c r="K113"/>
  <c r="H113"/>
  <c r="M112"/>
  <c r="L112"/>
  <c r="K112"/>
  <c r="H112"/>
  <c r="M111"/>
  <c r="L111"/>
  <c r="K111"/>
  <c r="H111"/>
  <c r="M110"/>
  <c r="L110"/>
  <c r="K110"/>
  <c r="H110"/>
  <c r="M109"/>
  <c r="L109"/>
  <c r="K109"/>
  <c r="H109"/>
  <c r="M108"/>
  <c r="L108"/>
  <c r="K108"/>
  <c r="H108"/>
  <c r="M107"/>
  <c r="L107"/>
  <c r="K107"/>
  <c r="H107"/>
  <c r="M106"/>
  <c r="L106"/>
  <c r="K106"/>
  <c r="H106"/>
  <c r="M105"/>
  <c r="L105"/>
  <c r="K105"/>
  <c r="H105"/>
  <c r="M104"/>
  <c r="L104"/>
  <c r="K104"/>
  <c r="H104"/>
  <c r="M103"/>
  <c r="L103"/>
  <c r="K103"/>
  <c r="H103"/>
  <c r="M102"/>
  <c r="L102"/>
  <c r="K102"/>
  <c r="H102"/>
  <c r="M101"/>
  <c r="L101"/>
  <c r="K101"/>
  <c r="H101"/>
  <c r="M100"/>
  <c r="L100"/>
  <c r="K100"/>
  <c r="H100"/>
  <c r="M99"/>
  <c r="L99"/>
  <c r="K99"/>
  <c r="H99"/>
  <c r="M98"/>
  <c r="L98"/>
  <c r="K98"/>
  <c r="H98"/>
  <c r="M97"/>
  <c r="L97"/>
  <c r="K97"/>
  <c r="H97"/>
  <c r="M96"/>
  <c r="L96"/>
  <c r="K96"/>
  <c r="H96"/>
  <c r="M95"/>
  <c r="L95"/>
  <c r="K95"/>
  <c r="H95"/>
  <c r="M94"/>
  <c r="L94"/>
  <c r="K94"/>
  <c r="H94"/>
  <c r="M93"/>
  <c r="L93"/>
  <c r="K93"/>
  <c r="H93"/>
  <c r="M92"/>
  <c r="L92"/>
  <c r="K92"/>
  <c r="H92"/>
  <c r="M91"/>
  <c r="L91"/>
  <c r="K91"/>
  <c r="H91"/>
  <c r="M90"/>
  <c r="L90"/>
  <c r="K90"/>
  <c r="H90"/>
  <c r="M89"/>
  <c r="L89"/>
  <c r="K89"/>
  <c r="H89"/>
  <c r="M88"/>
  <c r="L88"/>
  <c r="K88"/>
  <c r="H88"/>
  <c r="M87"/>
  <c r="L87"/>
  <c r="K87"/>
  <c r="H87"/>
  <c r="M86"/>
  <c r="L86"/>
  <c r="K86"/>
  <c r="H86"/>
  <c r="M85"/>
  <c r="L85"/>
  <c r="K85"/>
  <c r="H85"/>
  <c r="M84"/>
  <c r="L84"/>
  <c r="K84"/>
  <c r="H84"/>
  <c r="M83"/>
  <c r="L83"/>
  <c r="K83"/>
  <c r="H83"/>
  <c r="M82"/>
  <c r="L82"/>
  <c r="K82"/>
  <c r="H82"/>
  <c r="M81"/>
  <c r="L81"/>
  <c r="K81"/>
  <c r="H81"/>
  <c r="M80"/>
  <c r="L80"/>
  <c r="K80"/>
  <c r="H80"/>
  <c r="M79"/>
  <c r="L79"/>
  <c r="K79"/>
  <c r="H79"/>
  <c r="M78"/>
  <c r="L78"/>
  <c r="K78"/>
  <c r="H78"/>
  <c r="M77"/>
  <c r="L77"/>
  <c r="K77"/>
  <c r="H77"/>
  <c r="M76"/>
  <c r="L76"/>
  <c r="K76"/>
  <c r="H76"/>
  <c r="M75"/>
  <c r="L75"/>
  <c r="K75"/>
  <c r="H75"/>
  <c r="M74"/>
  <c r="L74"/>
  <c r="K74"/>
  <c r="H74"/>
  <c r="M73"/>
  <c r="L73"/>
  <c r="K73"/>
  <c r="H73"/>
  <c r="M72"/>
  <c r="L72"/>
  <c r="K72"/>
  <c r="H72"/>
  <c r="M71"/>
  <c r="L71"/>
  <c r="K71"/>
  <c r="H71"/>
  <c r="M70"/>
  <c r="L70"/>
  <c r="K70"/>
  <c r="H70"/>
  <c r="M69"/>
  <c r="L69"/>
  <c r="K69"/>
  <c r="H69"/>
  <c r="M68"/>
  <c r="L68"/>
  <c r="K68"/>
  <c r="H68"/>
  <c r="M67"/>
  <c r="L67"/>
  <c r="K67"/>
  <c r="H67"/>
  <c r="M66"/>
  <c r="L66"/>
  <c r="K66"/>
  <c r="H66"/>
  <c r="M65"/>
  <c r="L65"/>
  <c r="K65"/>
  <c r="H65"/>
  <c r="M64"/>
  <c r="L64"/>
  <c r="K64"/>
  <c r="H64"/>
  <c r="M63"/>
  <c r="L63"/>
  <c r="K63"/>
  <c r="H63"/>
  <c r="M62"/>
  <c r="L62"/>
  <c r="K62"/>
  <c r="H62"/>
  <c r="M61"/>
  <c r="L61"/>
  <c r="K61"/>
  <c r="H61"/>
  <c r="M60"/>
  <c r="L60"/>
  <c r="K60"/>
  <c r="H60"/>
  <c r="M59"/>
  <c r="L59"/>
  <c r="K59"/>
  <c r="H59"/>
  <c r="M58"/>
  <c r="L58"/>
  <c r="K58"/>
  <c r="H58"/>
  <c r="M57"/>
  <c r="L57"/>
  <c r="K57"/>
  <c r="H57"/>
  <c r="M56"/>
  <c r="L56"/>
  <c r="K56"/>
  <c r="H56"/>
  <c r="M55"/>
  <c r="L55"/>
  <c r="K55"/>
  <c r="H55"/>
  <c r="M54"/>
  <c r="L54"/>
  <c r="K54"/>
  <c r="H54"/>
  <c r="M53"/>
  <c r="L53"/>
  <c r="K53"/>
  <c r="H53"/>
  <c r="M52"/>
  <c r="L52"/>
  <c r="K52"/>
  <c r="H52"/>
  <c r="M51"/>
  <c r="L51"/>
  <c r="K51"/>
  <c r="H51"/>
  <c r="M50"/>
  <c r="L50"/>
  <c r="K50"/>
  <c r="H50"/>
  <c r="M49"/>
  <c r="L49"/>
  <c r="K49"/>
  <c r="H49"/>
  <c r="M48"/>
  <c r="L48"/>
  <c r="K48"/>
  <c r="H48"/>
  <c r="M47"/>
  <c r="L47"/>
  <c r="K47"/>
  <c r="H47"/>
  <c r="M46"/>
  <c r="L46"/>
  <c r="K46"/>
  <c r="H46"/>
  <c r="M45"/>
  <c r="L45"/>
  <c r="K45"/>
  <c r="H45"/>
  <c r="M44"/>
  <c r="L44"/>
  <c r="K44"/>
  <c r="H44"/>
  <c r="M43"/>
  <c r="L43"/>
  <c r="K43"/>
  <c r="H43"/>
  <c r="M42"/>
  <c r="L42"/>
  <c r="K42"/>
  <c r="H42"/>
  <c r="M41"/>
  <c r="L41"/>
  <c r="K41"/>
  <c r="H41"/>
  <c r="M40"/>
  <c r="L40"/>
  <c r="K40"/>
  <c r="H40"/>
  <c r="M39"/>
  <c r="L39"/>
  <c r="K39"/>
  <c r="H39"/>
  <c r="M38"/>
  <c r="L38"/>
  <c r="K38"/>
  <c r="H38"/>
  <c r="M37"/>
  <c r="L37"/>
  <c r="K37"/>
  <c r="H37"/>
  <c r="M36"/>
  <c r="L36"/>
  <c r="K36"/>
  <c r="H36"/>
  <c r="M35"/>
  <c r="L35"/>
  <c r="K35"/>
  <c r="H35"/>
  <c r="M34"/>
  <c r="L34"/>
  <c r="K34"/>
  <c r="H34"/>
  <c r="M33"/>
  <c r="L33"/>
  <c r="K33"/>
  <c r="H33"/>
  <c r="M32"/>
  <c r="L32"/>
  <c r="K32"/>
  <c r="H32"/>
  <c r="M31"/>
  <c r="L31"/>
  <c r="K31"/>
  <c r="H31"/>
  <c r="M30"/>
  <c r="L30"/>
  <c r="K30"/>
  <c r="H30"/>
  <c r="M29"/>
  <c r="L29"/>
  <c r="K29"/>
  <c r="H29"/>
  <c r="M28"/>
  <c r="L28"/>
  <c r="K28"/>
  <c r="H28"/>
  <c r="M27"/>
  <c r="L27"/>
  <c r="K27"/>
  <c r="H27"/>
  <c r="M26"/>
  <c r="L26"/>
  <c r="K26"/>
  <c r="H26"/>
  <c r="M25"/>
  <c r="L25"/>
  <c r="K25"/>
  <c r="H25"/>
  <c r="M24"/>
  <c r="L24"/>
  <c r="K24"/>
  <c r="H24"/>
  <c r="M23"/>
  <c r="L23"/>
  <c r="K23"/>
  <c r="H23"/>
  <c r="M22"/>
  <c r="L22"/>
  <c r="K22"/>
  <c r="H22"/>
  <c r="M21"/>
  <c r="L21"/>
  <c r="K21"/>
  <c r="H21"/>
  <c r="M20"/>
  <c r="L20"/>
  <c r="K20"/>
  <c r="H20"/>
  <c r="M19"/>
  <c r="L19"/>
  <c r="K19"/>
  <c r="H19"/>
  <c r="M18"/>
  <c r="L18"/>
  <c r="K18"/>
  <c r="H18"/>
  <c r="M17"/>
  <c r="L17"/>
  <c r="K17"/>
  <c r="H17"/>
  <c r="M16"/>
  <c r="L16"/>
  <c r="K16"/>
  <c r="H16"/>
  <c r="M15"/>
  <c r="L15"/>
  <c r="K15"/>
  <c r="H15"/>
  <c r="M14"/>
  <c r="L14"/>
  <c r="K14"/>
  <c r="H14"/>
  <c r="M13"/>
  <c r="L13"/>
  <c r="K13"/>
  <c r="H13"/>
  <c r="M12"/>
  <c r="L12"/>
  <c r="K12"/>
  <c r="H12"/>
  <c r="M11"/>
  <c r="L11"/>
  <c r="K11"/>
  <c r="H11"/>
  <c r="M10"/>
  <c r="L10"/>
  <c r="K10"/>
  <c r="H10"/>
  <c r="M9"/>
  <c r="L9"/>
  <c r="K9"/>
  <c r="H9"/>
  <c r="M8"/>
  <c r="L8"/>
  <c r="K8"/>
  <c r="H8"/>
  <c r="M7"/>
  <c r="L7"/>
  <c r="K7"/>
  <c r="H7"/>
  <c r="M6"/>
  <c r="L6"/>
  <c r="K6"/>
  <c r="H6"/>
  <c r="M5"/>
  <c r="L5"/>
  <c r="K5"/>
  <c r="H5"/>
  <c r="M4"/>
  <c r="L4"/>
  <c r="K4"/>
  <c r="H4"/>
  <c r="M3"/>
  <c r="L3"/>
  <c r="K3"/>
  <c r="H3"/>
  <c r="M2"/>
  <c r="L2"/>
  <c r="K2"/>
  <c r="H2"/>
</calcChain>
</file>

<file path=xl/sharedStrings.xml><?xml version="1.0" encoding="utf-8"?>
<sst xmlns="http://schemas.openxmlformats.org/spreadsheetml/2006/main" count="29711" uniqueCount="2413">
  <si>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</si>
  <si>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</si>
  <si>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</si>
  <si>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</si>
  <si>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</si>
  <si>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</si>
  <si>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</si>
  <si>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</si>
  <si>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</si>
  <si>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</si>
  <si>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</si>
  <si>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</si>
  <si>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</si>
  <si>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</si>
  <si>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</si>
  <si>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</si>
  <si>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</si>
  <si>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</si>
  <si>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</si>
  <si>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</si>
  <si>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</si>
  <si>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</si>
  <si>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</si>
  <si>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</si>
  <si>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Misure a Superficie</t>
  </si>
  <si>
    <t>NO</t>
  </si>
  <si>
    <t>Nuova Programmazione</t>
  </si>
  <si>
    <t>In Liquidazione</t>
  </si>
  <si>
    <t>Anticipo</t>
  </si>
  <si>
    <t>Co-Finanziato</t>
  </si>
  <si>
    <t>CAA Coldiretti srl</t>
  </si>
  <si>
    <t>SI</t>
  </si>
  <si>
    <t>CAA CIA srl</t>
  </si>
  <si>
    <t>CAA Copagri srl</t>
  </si>
  <si>
    <t>CAA Confagricoltura srl</t>
  </si>
  <si>
    <t>MARCHE</t>
  </si>
  <si>
    <t>SERV. DEC. AGRICOLTURA E ALIM. -ASCOLI PICENO</t>
  </si>
  <si>
    <t>CAA Coldiretti - FERMO - 001</t>
  </si>
  <si>
    <t>OCCHIODORO VINCENZO</t>
  </si>
  <si>
    <t>SERV. DEC. AGRICOLTURA E ALIMENTAZIONE - ANCONA</t>
  </si>
  <si>
    <t>CAA Coldiretti - ANCONA - 006</t>
  </si>
  <si>
    <t>SOCIETA' AGRICOLA EREDI CESARONI GIOVANNI S.S.</t>
  </si>
  <si>
    <t>IN PROPRIO</t>
  </si>
  <si>
    <t>SERV. DEC. AGRICOLTURA E ALIMENTAZIONE - PESARO</t>
  </si>
  <si>
    <t>CAA CIA - PESARO E URBINO - 005</t>
  </si>
  <si>
    <t>PATRIZI PAOLA</t>
  </si>
  <si>
    <t>CAA Copagri - PESARO E URBINO - 502</t>
  </si>
  <si>
    <t>DIOTALLEVI ANDREA</t>
  </si>
  <si>
    <t>SERVIZIO DECENTRATO AGRICOLTURA E ALIM. - MACERATA</t>
  </si>
  <si>
    <t>CAA LiberiAgricoltori srl già CAA AGCI srl</t>
  </si>
  <si>
    <t>CAA LiberiAgricoltori - MACERATA - 001</t>
  </si>
  <si>
    <t>TESTATONDA EMANUELE</t>
  </si>
  <si>
    <t>Trascinamenti</t>
  </si>
  <si>
    <t>CAA Coldiretti - ASCOLI PICENO - 040</t>
  </si>
  <si>
    <t>MECOZZI VINCENZO</t>
  </si>
  <si>
    <t>CAA Coldiretti - MACERATA - 018</t>
  </si>
  <si>
    <t>RAMADORI MARIO</t>
  </si>
  <si>
    <t>CAA Coldiretti - MACERATA - 009</t>
  </si>
  <si>
    <t>PONZI TERESA</t>
  </si>
  <si>
    <t>CAA UNICAA srl</t>
  </si>
  <si>
    <t>VECERRICA ELISABETTA</t>
  </si>
  <si>
    <t>CAA Coldiretti - PERUGIA - 011</t>
  </si>
  <si>
    <t>CAA UNICAA - ASCOLI PICENO - 004</t>
  </si>
  <si>
    <t>AZ.AGR.FATTORIA DEL CASTELLANO S.R.L. SOC.AGRICOLA</t>
  </si>
  <si>
    <t>LA SAPIENZA SOC.AGR.DI A.SAGRIPANTI &amp; C. SAS</t>
  </si>
  <si>
    <t>CAA CIA - ASCOLI PICENO - 001</t>
  </si>
  <si>
    <t>ZANETTE ANDREA</t>
  </si>
  <si>
    <t>CAA Coldiretti - ASCOLI PICENO - 015</t>
  </si>
  <si>
    <t>CONTI MARIA</t>
  </si>
  <si>
    <t>CAA CIA - ANCONA - 005</t>
  </si>
  <si>
    <t>PRIORI GIANCARLO</t>
  </si>
  <si>
    <t>GIRONELLI LUIGI</t>
  </si>
  <si>
    <t>CAA Coldiretti - ANCONA - 008</t>
  </si>
  <si>
    <t>POLENTA RAFFAELA</t>
  </si>
  <si>
    <t>CAA LiberiAgricoltori - MACERATA - 003</t>
  </si>
  <si>
    <t>BITIKJ ZENEP</t>
  </si>
  <si>
    <t>CAA Coldiretti - PESARO E URBINO - 004</t>
  </si>
  <si>
    <t>GIOVAGNOLI STEFANO</t>
  </si>
  <si>
    <t>CAA CIA - PESARO E URBINO - 002</t>
  </si>
  <si>
    <t>BALDACCI MAURO</t>
  </si>
  <si>
    <t>CAA LiberiAgricoltori - MACERATA - 002</t>
  </si>
  <si>
    <t>STAZI ANGELO</t>
  </si>
  <si>
    <t>GIOVANNINI DOMENICO</t>
  </si>
  <si>
    <t>POMPEI GIAN GUSTAVO</t>
  </si>
  <si>
    <t>CAA Coldiretti - ANCONA - 002</t>
  </si>
  <si>
    <t>PEVERINI LEONELLO</t>
  </si>
  <si>
    <t>CAA Coldiretti - ASCOLI PICENO - 010</t>
  </si>
  <si>
    <t>BRUNETTI VINCENZINA CATERINA</t>
  </si>
  <si>
    <t>RUGGERI ROBERTO</t>
  </si>
  <si>
    <t>CAA Copagri - ASCOLI PICENO - 501</t>
  </si>
  <si>
    <t>FORTUNI FULVIA</t>
  </si>
  <si>
    <t>CAA Coldiretti - MACERATA - 017</t>
  </si>
  <si>
    <t>SEVERINI GIUSEPPE</t>
  </si>
  <si>
    <t>BRUTTI IGINO</t>
  </si>
  <si>
    <t>PAZZAGLINI PAOLO</t>
  </si>
  <si>
    <t>CAA Copagri - FERMO - 501</t>
  </si>
  <si>
    <t>ANTOGNOZZI MASSIMO &amp; LUCA S.S'</t>
  </si>
  <si>
    <t>CAA Coldiretti - ANCONA - 001</t>
  </si>
  <si>
    <t>MARINI PAOLO</t>
  </si>
  <si>
    <t>CALIENDI ENRICO</t>
  </si>
  <si>
    <t>CAA Liberi Professionisti srl</t>
  </si>
  <si>
    <t>CAA Liberi Prof.- PESARO E URBINO - 001</t>
  </si>
  <si>
    <t>SOCIETA' AGRICOLA CAL BIANCHINO SOCIETA' SEMPLICE DI MINNETTI LUIGIA E</t>
  </si>
  <si>
    <t>DEPLANU S.&amp;A. S.S. AGRICOLA</t>
  </si>
  <si>
    <t>CAA Coldiretti - PESARO E URBINO - 008</t>
  </si>
  <si>
    <t>MANGANI ERAGLIO</t>
  </si>
  <si>
    <t>PICCIONI TERESA</t>
  </si>
  <si>
    <t>BRUGNOLA ROBERTO</t>
  </si>
  <si>
    <t>FERRARESI ADAMO</t>
  </si>
  <si>
    <t>CAA Coldiretti - PESARO E URBINO - 006</t>
  </si>
  <si>
    <t>3 A AZIENDE AGRICOLE ASSOCIATE SCARL</t>
  </si>
  <si>
    <t>CAA Coldiretti - MACERATA - 010</t>
  </si>
  <si>
    <t>PICCIONI AURELIO</t>
  </si>
  <si>
    <t>CAA Coldiretti - PESARO E URBINO - 001</t>
  </si>
  <si>
    <t>DI MASI LEONARDO</t>
  </si>
  <si>
    <t>GATTARI DOMENICO</t>
  </si>
  <si>
    <t>CAA Copagri - PESCARA - 201</t>
  </si>
  <si>
    <t>CAA CIA - ANCONA - 004</t>
  </si>
  <si>
    <t>AZIENDA AGRARIA LA CALCINARA DI BERLUTI PAOLO ED ELEONORA &amp; C. SOCIETA</t>
  </si>
  <si>
    <t>CAA CIA - PESARO E URBINO - 007</t>
  </si>
  <si>
    <t>STRIAN KERSTIN INGEBORG MARIA</t>
  </si>
  <si>
    <t>DIOTALEVI MAURIZIO</t>
  </si>
  <si>
    <t>CAA Copagri - PESARO E URBINO - 501</t>
  </si>
  <si>
    <t>BELLOCCHI KATIA</t>
  </si>
  <si>
    <t>CAA Coldiretti - PESARO E URBINO - 010</t>
  </si>
  <si>
    <t>MAZZANTI GIUSEPPE</t>
  </si>
  <si>
    <t>LIBERTI ALESSIO</t>
  </si>
  <si>
    <t>CAA CIA - ASCOLI PICENO - 005</t>
  </si>
  <si>
    <t>TIBERI LEONARDO</t>
  </si>
  <si>
    <t>CAA CIA - MACERATA - 001</t>
  </si>
  <si>
    <t>NARDI GIANCARLO</t>
  </si>
  <si>
    <t>CAA Coldiretti - PESARO E URBINO - 013</t>
  </si>
  <si>
    <t>LUCARELLI ROBERTO</t>
  </si>
  <si>
    <t>POLI ANNA RITA</t>
  </si>
  <si>
    <t>SOCIETA' AGRICOLA FAGGETI DI DIOTALEVI LUANA E C S.S.</t>
  </si>
  <si>
    <t>CAA C.A.N.A.P.A. srl</t>
  </si>
  <si>
    <t>CAA C.A.N.A.P.A. - RIETI - 001</t>
  </si>
  <si>
    <t>ALLEVATORI E PRODUTTORI DI MONTELAGO SOC. COOP. AGRICOLA</t>
  </si>
  <si>
    <t>FIORAVANTI VALENTINO</t>
  </si>
  <si>
    <t>CAA LiberiAgricoltori - PESARO E URBINO - 001</t>
  </si>
  <si>
    <t>ZOCCOLANTI DEMIS</t>
  </si>
  <si>
    <t>CAA Confagricoltura - MACERATA - 001</t>
  </si>
  <si>
    <t>SOCIETA' AGRICOLA SAN DIEGO S.N.C. DI PENNESI GIUSEPPE CARLO E C.</t>
  </si>
  <si>
    <t>LACCHE' LUCA</t>
  </si>
  <si>
    <t>BASSINO CASAMARTE MARIABEATRICE</t>
  </si>
  <si>
    <t>TOTTI LUCA</t>
  </si>
  <si>
    <t>CAA Confagricoltura - PESARO E URBINO - 001</t>
  </si>
  <si>
    <t>SOCIETA' AGRICOLA BASTIA S.R.L.</t>
  </si>
  <si>
    <t>CAA CIA - PESARO E URBINO - 001</t>
  </si>
  <si>
    <t>GABBANINI MARISA</t>
  </si>
  <si>
    <t>BIANCHINI DOMENICO</t>
  </si>
  <si>
    <t>TANZI ODILIA E ANGELICI ANTONIO SOC. SEMPLICE</t>
  </si>
  <si>
    <t>MARIANI MARTA</t>
  </si>
  <si>
    <t>ROMAGNOLI EUGENIO</t>
  </si>
  <si>
    <t>GEMINIANI PIERO</t>
  </si>
  <si>
    <t>VITTORI MANUELA</t>
  </si>
  <si>
    <t>CASOLI FRANCESCO</t>
  </si>
  <si>
    <t>CAA Coldiretti - MACERATA - 007</t>
  </si>
  <si>
    <t>PAZZELLI GIOVANNA</t>
  </si>
  <si>
    <t>AMICI ROSELLA</t>
  </si>
  <si>
    <t>CAA Copagri - MACERATA - 501</t>
  </si>
  <si>
    <t>SABBATINI MAURIZIO</t>
  </si>
  <si>
    <t>PIERMATTEI JURI</t>
  </si>
  <si>
    <t>CECCAROLI FAUSTO</t>
  </si>
  <si>
    <t>FATTORI LUISA</t>
  </si>
  <si>
    <t>BEI BRUNO</t>
  </si>
  <si>
    <t>CAA C.A.N.A.P.A. - REGGIO DI CALABRIA - 011</t>
  </si>
  <si>
    <t>COLISTRA FABIO</t>
  </si>
  <si>
    <t>GIULIODORI GINO</t>
  </si>
  <si>
    <t>CHEGAI ANTONIO</t>
  </si>
  <si>
    <t>CAA Confagricoltura - ANCONA - 001</t>
  </si>
  <si>
    <t>MIRIZZI GIANLUCA</t>
  </si>
  <si>
    <t>PIRCHIO FABRIZIO</t>
  </si>
  <si>
    <t>LISI ADALBERTO</t>
  </si>
  <si>
    <t>AZIENDA AGRICOLA CA' PRIMO DI SPADA ANTONIO &amp; C SNC SOCIETA' AGRICOLA</t>
  </si>
  <si>
    <t>SALVI LUCA</t>
  </si>
  <si>
    <t>SOCIETA' AGRICOLA - LUCARINI AUGUSTO E C. S.S.</t>
  </si>
  <si>
    <t>MANENTI MARCO</t>
  </si>
  <si>
    <t>MARI CLEMENTE</t>
  </si>
  <si>
    <t>CAA CIA - ASCOLI PICENO - 006</t>
  </si>
  <si>
    <t>LUPI SIMONA</t>
  </si>
  <si>
    <t>CONVERSINI LUCIANO</t>
  </si>
  <si>
    <t>CONTADINI ANNA MARIA</t>
  </si>
  <si>
    <t>UGOLINI CLAUDIO</t>
  </si>
  <si>
    <t>CAA CIA - PESARO E URBINO - 003</t>
  </si>
  <si>
    <t>RAFFEINER MARIA HELENE</t>
  </si>
  <si>
    <t>GAMBINI S.S. SOCIETA' AGRICOLA</t>
  </si>
  <si>
    <t>ULISSI DIEGO</t>
  </si>
  <si>
    <t>BENI FAUSTO</t>
  </si>
  <si>
    <t>CAA UNSIC s.r.l.</t>
  </si>
  <si>
    <t>SOLARIA S.S. - SOCIETA' AGRICOLA</t>
  </si>
  <si>
    <t>CECCHINI DANTE</t>
  </si>
  <si>
    <t>CAA Copagri - ASCOLI PICENO - 401</t>
  </si>
  <si>
    <t>LUCIANI LUCA</t>
  </si>
  <si>
    <t>SAVELLI ELIO</t>
  </si>
  <si>
    <t>AZ.AGR.SANNA E MONI</t>
  </si>
  <si>
    <t>CAA Coldiretti - ANCONA - 003</t>
  </si>
  <si>
    <t>SABBATINI ROSSETTI LUCA</t>
  </si>
  <si>
    <t>CERVIGNI GILDO</t>
  </si>
  <si>
    <t>CAA Coldiretti - PESARO E URBINO - 007</t>
  </si>
  <si>
    <t>SOCIETA' AGRICOLA F.LLI PAOLINI S.S.</t>
  </si>
  <si>
    <t>POCOGNOLI REMIGIO</t>
  </si>
  <si>
    <t>COLLAMATI FRANCO</t>
  </si>
  <si>
    <t>CAA CIA - ROMA - 006</t>
  </si>
  <si>
    <t>SERRA MARIA CECILIA</t>
  </si>
  <si>
    <t>COOPERATIVA AGRICOLA LA FORMICA PICCOLA SOCIETA' COOPERATIVA A R.L.</t>
  </si>
  <si>
    <t>GAGGIOTTINI EMILIO</t>
  </si>
  <si>
    <t>SPERANDIO LORIANO</t>
  </si>
  <si>
    <t>CAA CIA - ASCOLI PICENO - 004</t>
  </si>
  <si>
    <t>CARBONI SETTIMIO</t>
  </si>
  <si>
    <t>MERCOLINI FERNANDO</t>
  </si>
  <si>
    <t>ZOCCHI SANTE ANTONIO</t>
  </si>
  <si>
    <t>CAA Copagri - MACERATA - 503</t>
  </si>
  <si>
    <t>BASSO GIULIO</t>
  </si>
  <si>
    <t>MARI DANILO</t>
  </si>
  <si>
    <t>CAA CIA - ANCONA - 002</t>
  </si>
  <si>
    <t>CAPITANI GIORGIO</t>
  </si>
  <si>
    <t>REMIA GIACOMO</t>
  </si>
  <si>
    <t>RADICIONI DANIELA</t>
  </si>
  <si>
    <t>SOCIETA' AGRICOLA CROCE DEL MORO S.S.</t>
  </si>
  <si>
    <t>BARTOLINI MICHELA</t>
  </si>
  <si>
    <t>ZILIOTTO ROSALIA</t>
  </si>
  <si>
    <t>KINSKY ANJA</t>
  </si>
  <si>
    <t>POCOGNOLI RENATO</t>
  </si>
  <si>
    <t>RIVELLI MARIO</t>
  </si>
  <si>
    <t>BERNACCONI DELIO</t>
  </si>
  <si>
    <t>AGROBIOLOGICA FOGLINI LIVIA E AMURRI PIERINO BRUNO SOCIETA' AGRICOLA S</t>
  </si>
  <si>
    <t>UBERTINI PIERINO</t>
  </si>
  <si>
    <t>FERRETTI SILVIA</t>
  </si>
  <si>
    <t>GIOSUE' FLAVIA</t>
  </si>
  <si>
    <t>FEDERICI VINCENZA</t>
  </si>
  <si>
    <t>SOCIETA'AGRICOLA MARONI S.S. DI MARONI DAVIDE &amp; GIUSEPPE</t>
  </si>
  <si>
    <t>COOPERATIVA SOCIALE IL FARO DEL PICENO ANFFAS</t>
  </si>
  <si>
    <t>SOCIETA' AGRICOLA IL CASONE DI INNOCENZI ROBERTA &amp; C. S.S.</t>
  </si>
  <si>
    <t>TURTAS LUCIA ROSA</t>
  </si>
  <si>
    <t>ZAMPONI ERALDO</t>
  </si>
  <si>
    <t>CAA Coldiretti - MACERATA - 002</t>
  </si>
  <si>
    <t>ZAMPONI GIANNA</t>
  </si>
  <si>
    <t>SOCIETA'AGRICOLA FILETTE DI BELLI SILVIA E ALESSANDRO S.S.</t>
  </si>
  <si>
    <t>ASTOLFI CLEMENTINO</t>
  </si>
  <si>
    <t>CAA UNICAA - MACERATA - 002</t>
  </si>
  <si>
    <t>MORETTI GIORGIO</t>
  </si>
  <si>
    <t>MARCHESINI MICHELA</t>
  </si>
  <si>
    <t>CALAMANTE GIORGIO</t>
  </si>
  <si>
    <t>LA TORRE DI TORRONI GIUSEPPE E C. SAS</t>
  </si>
  <si>
    <t>VIRGILI GIULIANO</t>
  </si>
  <si>
    <t>CAL SOLE SOCIETA' AGRICOLA</t>
  </si>
  <si>
    <t>BELBUSTI MARINA</t>
  </si>
  <si>
    <t>TROVARELLI CHIARA</t>
  </si>
  <si>
    <t>CONCETTI GIULIANA</t>
  </si>
  <si>
    <t>GUBINELLI JONATHAN</t>
  </si>
  <si>
    <t>MAROZZI EDDO</t>
  </si>
  <si>
    <t>COCCI PATRIZIO</t>
  </si>
  <si>
    <t>ROMITI GIOVANNI</t>
  </si>
  <si>
    <t>AMICO LUCIA</t>
  </si>
  <si>
    <t>MANNOCCHI GIUSEPPE</t>
  </si>
  <si>
    <t>AMBROGI ROSELLA</t>
  </si>
  <si>
    <t>CAA Coldiretti - ASCOLI PICENO - 025</t>
  </si>
  <si>
    <t>AGRICOLA SANTA LUCIA DI PELLICCIONI FRANCESCO &amp; C. S.A.S.</t>
  </si>
  <si>
    <t>SOC. AGR. SAPUTI SOCIETA' AGRICOLA SEMPLICE</t>
  </si>
  <si>
    <t>KRANENDONK JOHANNA THERESIA MARIA</t>
  </si>
  <si>
    <t>DEL BELLO ALESSANDRO</t>
  </si>
  <si>
    <t>GRASSI ROSA</t>
  </si>
  <si>
    <t>FARES ALDO</t>
  </si>
  <si>
    <t>FRULLA MARCELLO</t>
  </si>
  <si>
    <t>RE GIUSEPPINA</t>
  </si>
  <si>
    <t>MANOCCHI GABRIELE</t>
  </si>
  <si>
    <t>DONATI CLAUDIA</t>
  </si>
  <si>
    <t>VENNARUCCI GIUSEPPA</t>
  </si>
  <si>
    <t>SOCIETA' AGRICOLA BARZAGHI F.LLI SNC DI CAPPI VITTORINA E BARZAGHI MAR</t>
  </si>
  <si>
    <t>COACCI ORIETTA</t>
  </si>
  <si>
    <t>CANDELARESI CARLO</t>
  </si>
  <si>
    <t>PETINI FRANCA</t>
  </si>
  <si>
    <t>CAA Confagricoltura - ASCOLI PICENO - 001</t>
  </si>
  <si>
    <t>PARRADO Y MARCANO DOLORES</t>
  </si>
  <si>
    <t>TUTTO DOPPIO DI NEASE JR ROBERT FRANK &amp; SECURA GINA MARIE - SOCIE TA'</t>
  </si>
  <si>
    <t>CAA LiberiAgricoltori - PESARO E URBINO - 002</t>
  </si>
  <si>
    <t>MARCHETTI MICHELE</t>
  </si>
  <si>
    <t>AZ.AG.SOTGIA E CADONI S.S.</t>
  </si>
  <si>
    <t>SOCIETA' AGRICOLA CAPPELLETTI GIULIANO E BERNARDI ROBERTO S.S.</t>
  </si>
  <si>
    <t>PAPAVERO MAURIZIO</t>
  </si>
  <si>
    <t>SOCIETA' AGRICOLA CA' VALENTINO S.S.</t>
  </si>
  <si>
    <t>PIERANTONI ROBERTO</t>
  </si>
  <si>
    <t>SPINA FRANCO</t>
  </si>
  <si>
    <t>MARONCELLI FRANCO</t>
  </si>
  <si>
    <t>CAA Coldiretti - ANCONA - 004</t>
  </si>
  <si>
    <t>MANIZZA CHIARA</t>
  </si>
  <si>
    <t>GEMINIANI MARINO</t>
  </si>
  <si>
    <t>NASONI EMILIO</t>
  </si>
  <si>
    <t>CAA Coldiretti - MACERATA - 008</t>
  </si>
  <si>
    <t>SCODERONI MARSILIO</t>
  </si>
  <si>
    <t>SOCIETA' AGRICOLA ENERGY AGROFORESTALE SNC DI NORCINI PALA MAURO &amp; C.</t>
  </si>
  <si>
    <t>ALESSANDRINI ALESSANDRO</t>
  </si>
  <si>
    <t>CIOCCOLONI FRANCESCO</t>
  </si>
  <si>
    <t>PALAZZESI STEFANIA</t>
  </si>
  <si>
    <t>MICCI GILBERTO</t>
  </si>
  <si>
    <t>FADDA LUCIANO E MARIO SOC. SEMPLICE</t>
  </si>
  <si>
    <t>DE ANGELIS MAURIZIO</t>
  </si>
  <si>
    <t>CATALDI ERSILIA</t>
  </si>
  <si>
    <t>LUCIANI SILVANA</t>
  </si>
  <si>
    <t>BALZANI BARBARA</t>
  </si>
  <si>
    <t>VAGNONI CARLO</t>
  </si>
  <si>
    <t>VALLORANI MARIA LUIGINA</t>
  </si>
  <si>
    <t>ROSSI DAVIDE</t>
  </si>
  <si>
    <t>GROSSI MARIA-GRAZIELLA</t>
  </si>
  <si>
    <t>NOTTOLA VISSIA</t>
  </si>
  <si>
    <t>SOC.AGR.IL VECCHIO OLMO DI LEONFANTI CAR</t>
  </si>
  <si>
    <t>DOBRE ALINA ANITA</t>
  </si>
  <si>
    <t>FOSSA MICHELE</t>
  </si>
  <si>
    <t>PACI FLAVIO</t>
  </si>
  <si>
    <t>TROITO PIETRO</t>
  </si>
  <si>
    <t>MASCITTI GIOVANNI</t>
  </si>
  <si>
    <t>GIANANGELI MARISA</t>
  </si>
  <si>
    <t>CARLINI TIZIANO</t>
  </si>
  <si>
    <t>CALDARI CHRISTIAN</t>
  </si>
  <si>
    <t>CESOLARI ROSALBA</t>
  </si>
  <si>
    <t>IMMOBILIARE FONTE ABETI SNC DI VOLPI NAZZARENO E C.</t>
  </si>
  <si>
    <t>LARGHETTI ANTONIO</t>
  </si>
  <si>
    <t>DONI LUIGI</t>
  </si>
  <si>
    <t>RAPANELLI RENZO</t>
  </si>
  <si>
    <t>BISOGNIN JULIANA PAULA</t>
  </si>
  <si>
    <t>MAURIZI GIAMPIERO</t>
  </si>
  <si>
    <t>PIGOTTI RENZO</t>
  </si>
  <si>
    <t>CAA Coldiretti - ASCOLI PICENO - 030</t>
  </si>
  <si>
    <t>VINOFFIDA SRL AGRICOLA</t>
  </si>
  <si>
    <t>CAMPANELLI REMO</t>
  </si>
  <si>
    <t>SARTI PIER MARINO</t>
  </si>
  <si>
    <t>DURO FRANCA</t>
  </si>
  <si>
    <t>AZIENDA AGRICOLA MOLINI E PASTIFICI 1875.S.S.</t>
  </si>
  <si>
    <t>ALEANDRI LUIGI</t>
  </si>
  <si>
    <t>CAA Copagri - ANCONA - 505</t>
  </si>
  <si>
    <t>AZIENDA AGRICOLA PASQUINELLI ENNIO SRL</t>
  </si>
  <si>
    <t>MORI ALESSANDRA</t>
  </si>
  <si>
    <t>LILLA SIMONE</t>
  </si>
  <si>
    <t>PULCINI ARDUINO</t>
  </si>
  <si>
    <t>CAA CIA - PESARO E URBINO - 008</t>
  </si>
  <si>
    <t>MARIOTTI CLAUDIO</t>
  </si>
  <si>
    <t>GALLI GABRIELE</t>
  </si>
  <si>
    <t>CRUCIANI MASSIMO</t>
  </si>
  <si>
    <t>MERCURI FRANCESCA SOCIETA' AGRICOLA SEMPLICE</t>
  </si>
  <si>
    <t>TOMASSETTI MATTEO</t>
  </si>
  <si>
    <t>SILIQUINI GIACINTA</t>
  </si>
  <si>
    <t>SOCIETA' AGRICOLA "TENUTA SILIQUINI" DI ACCORSI SIMONA E LOMUSIO GRAZI</t>
  </si>
  <si>
    <t>CALDAROLA GIOVANNI BATTISTA</t>
  </si>
  <si>
    <t>TEMPESTILLI QUINTO</t>
  </si>
  <si>
    <t>NATALIZI ROBERTO</t>
  </si>
  <si>
    <t>ZAGOREO RENATO</t>
  </si>
  <si>
    <t>DEL GOBBO VITTORIA</t>
  </si>
  <si>
    <t>LARGHETTI GIUSEPPE</t>
  </si>
  <si>
    <t>ALBANI ALBERTO</t>
  </si>
  <si>
    <t>ROSSINI RAFFAELE</t>
  </si>
  <si>
    <t>MICHEL JURGEN</t>
  </si>
  <si>
    <t>URBINELLI MARIA LAURA</t>
  </si>
  <si>
    <t>MARINI DANIELA</t>
  </si>
  <si>
    <t>SOCIETA' AGRICOLA VALLE DI RAGGIANO S.A.S. DI CAGNINI FABRIZIO &amp; C.</t>
  </si>
  <si>
    <t>CAA CIA - ANCONA - 003</t>
  </si>
  <si>
    <t>BRUNI DANIELE</t>
  </si>
  <si>
    <t>MARINI AURELIO</t>
  </si>
  <si>
    <t>CAA Copagri - MACERATA - 301</t>
  </si>
  <si>
    <t>SPADONI FABIOLA</t>
  </si>
  <si>
    <t>CAA Copagri - FERMO - 502</t>
  </si>
  <si>
    <t>GIULIANI FRANCO E LEONELLO S.S.</t>
  </si>
  <si>
    <t>PACI GIUSEPPE</t>
  </si>
  <si>
    <t>SOCIETA' AGRICOLA SANTA CROCE S.S.</t>
  </si>
  <si>
    <t>LAZZARINI CARLO</t>
  </si>
  <si>
    <t>SBARDELLATI LAMBERTO</t>
  </si>
  <si>
    <t>POLIDORI FRANCO</t>
  </si>
  <si>
    <t>KUDRYNSKA INNA</t>
  </si>
  <si>
    <t>SOCIETA' AGRICOLA LAI SS</t>
  </si>
  <si>
    <t>AZIENDA AGRICOLA MARCHIONNI MAURIZIO E ALESSANDRO SOCIETA' SEMPLICE</t>
  </si>
  <si>
    <t>SOCIETA' AGRICOLA ELAION S.S.</t>
  </si>
  <si>
    <t>SINIGAGLIA ANNA</t>
  </si>
  <si>
    <t>BERDUCCI ROSSANO</t>
  </si>
  <si>
    <t>ROSELLI ENZO</t>
  </si>
  <si>
    <t>GRILLI WALTER</t>
  </si>
  <si>
    <t>CERQUE GRANNI SNC DI GABRIELLI MARISA E C.</t>
  </si>
  <si>
    <t>PELLICCIARI FRANCESCO</t>
  </si>
  <si>
    <t>ANGELINI NICOLINA</t>
  </si>
  <si>
    <t>GUGLIELMI PAOLO</t>
  </si>
  <si>
    <t>BUCCOLINI MARCO</t>
  </si>
  <si>
    <t>BERARDI FABRIZIO</t>
  </si>
  <si>
    <t>MARASCA MARIO E MARASCA ANGELO SOCIETA'SEMPLICE</t>
  </si>
  <si>
    <t>COLO' OTTORINO</t>
  </si>
  <si>
    <t>CAA DELLE VENEZIE 207</t>
  </si>
  <si>
    <t>CAA DELLE VENEZIE 207 - PADOVA - 001</t>
  </si>
  <si>
    <t>ALBERTI MATTEO</t>
  </si>
  <si>
    <t>BANCI SERAFINO</t>
  </si>
  <si>
    <t>SOCIETA' AGRICOLA MOSCI PAOLO-ROBERTO-LORENZO SOCIETA' SEMPLICE</t>
  </si>
  <si>
    <t>AZ. AGR. BARTOLUCCI ANGELO &amp; ZAMPONI SANTINA SOCIETA' SEMPLI</t>
  </si>
  <si>
    <t>DILETTI GIOVANNI</t>
  </si>
  <si>
    <t>MAZZANTI GIORGIO</t>
  </si>
  <si>
    <t>BUSETTO LUISA</t>
  </si>
  <si>
    <t>TRAVAGLIATI GIUSEPPE</t>
  </si>
  <si>
    <t>SOCIETA' AGRICOLA SORO GIOVANNI MARIA E SALVATORE S.S.</t>
  </si>
  <si>
    <t>SI.GI. DI PAPA GIULIANA &amp; C. SAS</t>
  </si>
  <si>
    <t>RAINATI REMO</t>
  </si>
  <si>
    <t>AZIENDA AGRICOLA BMVG DI CETERONI PATRIZIA &amp; C. SAS</t>
  </si>
  <si>
    <t>MALINTOPPI ELISA</t>
  </si>
  <si>
    <t>CENTIONI SILVIO</t>
  </si>
  <si>
    <t>QUADRELLI ENZO</t>
  </si>
  <si>
    <t>LOMBARDI EDDY</t>
  </si>
  <si>
    <t>SERRA PASQUALE GESUINO</t>
  </si>
  <si>
    <t>CATANI SONIA</t>
  </si>
  <si>
    <t>VITI FELICE</t>
  </si>
  <si>
    <t>CARDINI VALENTINO</t>
  </si>
  <si>
    <t>TOSTI ANGELO</t>
  </si>
  <si>
    <t>MUCCI GIORGINA</t>
  </si>
  <si>
    <t>ANGELONI FRANCESCA</t>
  </si>
  <si>
    <t>PERLINI ALDO</t>
  </si>
  <si>
    <t>ERCOLANI PIETRO</t>
  </si>
  <si>
    <t>LORENZI ADRIANO</t>
  </si>
  <si>
    <t>CARLINI GIUSEPPE</t>
  </si>
  <si>
    <t>LAMBERTUCCI GIULIANO</t>
  </si>
  <si>
    <t>CONTI MARTA</t>
  </si>
  <si>
    <t>PACCUSSE GIANNI</t>
  </si>
  <si>
    <t>MARTINELLI ANTONIO</t>
  </si>
  <si>
    <t>SOCIETA' AGRICOLA TODINI FRANCESCO &amp; C. SOC. SEMPLICE</t>
  </si>
  <si>
    <t>SOCIETA' AGRICOLA BALDACCIONI GIANNI E ROBERTO SS</t>
  </si>
  <si>
    <t>DI LORENZO ALESSANDRO</t>
  </si>
  <si>
    <t>LATTANZI GIUSEPPINA</t>
  </si>
  <si>
    <t>CERQUA PIER LUIGI</t>
  </si>
  <si>
    <t>DI COLA SABATINO E IVO SOC.SEMPLICE</t>
  </si>
  <si>
    <t>SOCIETA' AGRICOLA EREDI CAGNUCCI DUILIO S.S.</t>
  </si>
  <si>
    <t>ZANOTTA MARIA ALESSANDRA</t>
  </si>
  <si>
    <t>SOCIETA AGRICOLA DEL BORANICO</t>
  </si>
  <si>
    <t>RAFFEINER JACOB</t>
  </si>
  <si>
    <t>SOCIETA' AGRICOLA VILLANUOVA DI GIAMPAOLI LORIS E ANGELO S.S.</t>
  </si>
  <si>
    <t>EUSEBI GIANNI</t>
  </si>
  <si>
    <t>ILLUMINATI CLELIA</t>
  </si>
  <si>
    <t>PIERINI ALDO</t>
  </si>
  <si>
    <t>FORTUNI DOMENICO</t>
  </si>
  <si>
    <t>SERO S.A.S. DI MARCHETTI ALESSANDRO E C. SOCIETA' AGRICOLA</t>
  </si>
  <si>
    <t>MECOZZI ENZO</t>
  </si>
  <si>
    <t>FALCONI CARLA</t>
  </si>
  <si>
    <t>RAGGI AROLDO</t>
  </si>
  <si>
    <t>CARBONI SANTINA</t>
  </si>
  <si>
    <t>BARTOLUCCI FRANCESCO</t>
  </si>
  <si>
    <t>CAU EZIO</t>
  </si>
  <si>
    <t>BARBONI FABIO</t>
  </si>
  <si>
    <t>BRECCIA MIRELLA</t>
  </si>
  <si>
    <t>PODERI DE MARTE DEI F.LLI CAPANNELLI M. E R. S.S.</t>
  </si>
  <si>
    <t>DIOTALEVI MILVA E CINZIA SOCIETA' SEMPLICE</t>
  </si>
  <si>
    <t>TOPI FABRIZIO</t>
  </si>
  <si>
    <t>FEDERICI PIERLUCA</t>
  </si>
  <si>
    <t>PALOMBI TONINO</t>
  </si>
  <si>
    <t>CIAPPELLONI ASSUNTA</t>
  </si>
  <si>
    <t>CAU MARCELLO</t>
  </si>
  <si>
    <t>ROSSI MASSIMILIANO</t>
  </si>
  <si>
    <t>SANTONI FRANCESCA</t>
  </si>
  <si>
    <t>CUGURU MARIO</t>
  </si>
  <si>
    <t>DE-SANTIS EUSEBIO</t>
  </si>
  <si>
    <t>PIERLI FLAVIO</t>
  </si>
  <si>
    <t>SOCIETA' AGRICOLA ROSASPINA S.S.</t>
  </si>
  <si>
    <t>ORFEI DOMENICO</t>
  </si>
  <si>
    <t>CARBONI EUGENIO</t>
  </si>
  <si>
    <t>VISSANI PAOLO</t>
  </si>
  <si>
    <t>MASS-HANS VALDIFIORI DI CIPRIANI MASSIMO &amp; C. S.A.S. - SOCIETA'AG RICO</t>
  </si>
  <si>
    <t>CAA UNICAA - ANCONA - 003</t>
  </si>
  <si>
    <t>SOCIETA' AGRICOLA MI.LU.KA. SNC DI MIGLIOZZI LUDOVICO E KARIN</t>
  </si>
  <si>
    <t>LE VIGNE DI CLEMENTINA FABI SOCIETA' AGRICOLA A R. L.</t>
  </si>
  <si>
    <t>SOCIETA' AGRICOLA MARCHETTI TOMMASO ED ETTORE SOCIETA' SEMPLICE</t>
  </si>
  <si>
    <t>AZIENDA AGRICOLA MOCHI - S.S. SOCIETA' AGRICOLA</t>
  </si>
  <si>
    <t>CAMPO DI MAGGIO S.S. AGRICOLA</t>
  </si>
  <si>
    <t>ABURTO GONZALEZ JESICA ANDREA</t>
  </si>
  <si>
    <t>TASSI VALENTINA</t>
  </si>
  <si>
    <t>TAMBURINI GIANCARLO E VALENTINO S.S.</t>
  </si>
  <si>
    <t>UGUCCIONI BIANCA MARIA</t>
  </si>
  <si>
    <t>MONTEROSSO SOCIETA' AGRICOLA FORESTALE A R.L</t>
  </si>
  <si>
    <t>DINI GIULIANO</t>
  </si>
  <si>
    <t>ZERBINI GUIDO</t>
  </si>
  <si>
    <t>SAVINI GIULIA MARCELLA</t>
  </si>
  <si>
    <t>FANESI FILIPPO</t>
  </si>
  <si>
    <t>SORCINELLI LUCA</t>
  </si>
  <si>
    <t>TRONCHIN RENZO</t>
  </si>
  <si>
    <t>ROSSI PAOLO</t>
  </si>
  <si>
    <t>BARBERINI ILARIA</t>
  </si>
  <si>
    <t>FADDA SAMUELE</t>
  </si>
  <si>
    <t>GUIDO COCCI GRIFONI &amp; C.SRL</t>
  </si>
  <si>
    <t>CRISTINI CRISTINA</t>
  </si>
  <si>
    <t>SOCIETA' AGRICOLA LA VALLE A RESPONSABILITA' LIMITATA SEMPLIFICATA UNI</t>
  </si>
  <si>
    <t>ORAZI TARCISIO</t>
  </si>
  <si>
    <t>ANGELONI PAOLO</t>
  </si>
  <si>
    <t>CATENA GIUSEPPE</t>
  </si>
  <si>
    <t>FAVRIN HUBERTUS CORNELIS</t>
  </si>
  <si>
    <t>ANGELINI ANDREA</t>
  </si>
  <si>
    <t>BRAVI PAOLA</t>
  </si>
  <si>
    <t>PIERANTONI CELESTINO</t>
  </si>
  <si>
    <t>CANNELLA MILENA</t>
  </si>
  <si>
    <t>AZIENDA AGRICOLA E AGRITURISTICA 'LA CEGNA' S.S.</t>
  </si>
  <si>
    <t>SCAGNETTI DENISE</t>
  </si>
  <si>
    <t>DE BELLIS FRANCO</t>
  </si>
  <si>
    <t>MADONINI VALERIA MARIA ALESSANDRA</t>
  </si>
  <si>
    <t>MARCHIONNI SILVIA</t>
  </si>
  <si>
    <t>SOCIETA AGRICOLA BLASI RICCARDO E ROBERTO SS</t>
  </si>
  <si>
    <t>MANUNTA ANTONIO FRANCESCO</t>
  </si>
  <si>
    <t>CARLONI DANILO</t>
  </si>
  <si>
    <t>PINTUS GRAZIANO</t>
  </si>
  <si>
    <t>BLAGA CLAUDIU</t>
  </si>
  <si>
    <t>CAA Copagri - ANCONA - 502</t>
  </si>
  <si>
    <t>PELUCCHINI GIUSEPPE</t>
  </si>
  <si>
    <t>SEVERINI CARLO</t>
  </si>
  <si>
    <t>LANI FRANCESCO</t>
  </si>
  <si>
    <t>GIRASOLI S.S. - SOCIETA' AGRICOLA</t>
  </si>
  <si>
    <t>MARANI PATRIZIA</t>
  </si>
  <si>
    <t>VENTURINI ANTONIO</t>
  </si>
  <si>
    <t>RICCIONI STEFANO</t>
  </si>
  <si>
    <t>TROIANI PASQUALINA</t>
  </si>
  <si>
    <t>MERCANTI MATTEO</t>
  </si>
  <si>
    <t>TROIANI FABIO-MASSIMO</t>
  </si>
  <si>
    <t>AZ. ORTOFRUTTICOLA MALAVOLTA ENZO &amp; IVANO</t>
  </si>
  <si>
    <t>MICOZZI LUCA</t>
  </si>
  <si>
    <t>CIMARELLI MARIA ENRICA</t>
  </si>
  <si>
    <t>TULLI PANCRAZIO</t>
  </si>
  <si>
    <t>LANCIOTTI FABIO</t>
  </si>
  <si>
    <t>ROSSI FRANCESCA</t>
  </si>
  <si>
    <t>MILANI VINCENZO</t>
  </si>
  <si>
    <t>PIRANI EUGENIO</t>
  </si>
  <si>
    <t>FRASCARELLI PATRIZIA</t>
  </si>
  <si>
    <t>PELLEGRINI ENRICO EREDI SOCIETA' AGRICOLA SS</t>
  </si>
  <si>
    <t>MARCONI STEFANO</t>
  </si>
  <si>
    <t>MOCHI MARIO</t>
  </si>
  <si>
    <t>CANCELLIERI AUGUSTO</t>
  </si>
  <si>
    <t>BUYSSCHAERT RAYMONDE MARTINE ROBERT</t>
  </si>
  <si>
    <t>CRISTALLI TOMMASO JUNIOR</t>
  </si>
  <si>
    <t>MARCHESANA SOC.COOP.AGRICOLA</t>
  </si>
  <si>
    <t>FILIPPONI LUIGI</t>
  </si>
  <si>
    <t>VONO MATTIA MARTA</t>
  </si>
  <si>
    <t>VAGNONI LUCA</t>
  </si>
  <si>
    <t>LE BONTA' DI ACCIARRI SOCIETA' AGRICOLA A RESPONSABILITA' LIMITATA SEM</t>
  </si>
  <si>
    <t>'PREMIER COPY IMMOBILIARE E COMMERCIALE S.R.L.'</t>
  </si>
  <si>
    <t>BELLEGGIA TIBERIO</t>
  </si>
  <si>
    <t>CONFORTI GINO</t>
  </si>
  <si>
    <t>ANGELINI MARIO</t>
  </si>
  <si>
    <t>CAA Coldiretti - ANCONA - 005</t>
  </si>
  <si>
    <t>CLEMENTI MARIA</t>
  </si>
  <si>
    <t>VALLORANI ROSA</t>
  </si>
  <si>
    <t>D'ANGELO MARIA</t>
  </si>
  <si>
    <t>CINTI DANIELA</t>
  </si>
  <si>
    <t>MURRI PROVINO</t>
  </si>
  <si>
    <t>SOCIETA' AGRICOLA GNOMA SOCIETA' SEMPLICE</t>
  </si>
  <si>
    <t>ALEANDRI ALBERTO</t>
  </si>
  <si>
    <t>MARZIALETTI FRANCESCO</t>
  </si>
  <si>
    <t>FIORETTI ALBERTO</t>
  </si>
  <si>
    <t>CADABO' SOCIETA' SEMPLICE AGRICOLA DI BUSCHI MATTEO E LANDI ROSSANO</t>
  </si>
  <si>
    <t>MARINELLI ALFREDO</t>
  </si>
  <si>
    <t>FELIZIANI ORESTE</t>
  </si>
  <si>
    <t>BARBAROSSA FABRIZIO</t>
  </si>
  <si>
    <t>MARIANI FRANCESCO MASSIMO</t>
  </si>
  <si>
    <t>EUSEBI ROBERTO</t>
  </si>
  <si>
    <t>AZ. AGR. MONSANTO DI BARDEGGIA CARBONARI SOCIETA' AGRICOLA SS</t>
  </si>
  <si>
    <t>SOCIETA' AGRICOLA L'ISTRICE</t>
  </si>
  <si>
    <t>POETA FRANCESCO</t>
  </si>
  <si>
    <t>SOC.AGR. F.LLI SANTI S.S.</t>
  </si>
  <si>
    <t>RIZZONI LORENZO</t>
  </si>
  <si>
    <t>AZIENDA AGRICOLA OFFREDI DI ANELA GIUSEPPE E PIETRO SOCIETA'</t>
  </si>
  <si>
    <t>FERRI PAOLINA</t>
  </si>
  <si>
    <t>SOCIETA' AGRICOLA MARSILI ADORNO E C. SOC .SEMPLICE</t>
  </si>
  <si>
    <t>ROSSI PIETRINO</t>
  </si>
  <si>
    <t>DI DONATO CATIA</t>
  </si>
  <si>
    <t>PIETRONI MAURIZIO</t>
  </si>
  <si>
    <t>SGALIPPA TOMMASO</t>
  </si>
  <si>
    <t>FRASCARELLI MARIA PAOLA</t>
  </si>
  <si>
    <t>BOCCHINI ROBERTA</t>
  </si>
  <si>
    <t>AMICI MARIA GIUSEPPINA</t>
  </si>
  <si>
    <t>PORFIRI MARISA</t>
  </si>
  <si>
    <t>CASAMURATA SOCIETA' AGRICOLA</t>
  </si>
  <si>
    <t>PEYRON BERNARDINO ENRICO MARIA</t>
  </si>
  <si>
    <t>PITTALIS BASTIANINO MARCO</t>
  </si>
  <si>
    <t>FABBRI CANDIDA</t>
  </si>
  <si>
    <t>MORE' ANTONIO</t>
  </si>
  <si>
    <t>ORPELLO ENRICO</t>
  </si>
  <si>
    <t>PUGNALI LUCIANO</t>
  </si>
  <si>
    <t>CASTELLETTI SERGIO</t>
  </si>
  <si>
    <t>LAI ELENA</t>
  </si>
  <si>
    <t>PAOLONI MICHELE</t>
  </si>
  <si>
    <t>CAA CIA - PESARO E URBINO - 006</t>
  </si>
  <si>
    <t>BRUNETTI STEFANO</t>
  </si>
  <si>
    <t>ROBERTI ALESSANDRO</t>
  </si>
  <si>
    <t>COCCI NICOLINO</t>
  </si>
  <si>
    <t>GIULIANI PATRIZIO</t>
  </si>
  <si>
    <t>AMBROGI ALBA</t>
  </si>
  <si>
    <t>TIBERI FRANCO</t>
  </si>
  <si>
    <t>ARCANGELI FABIOLA</t>
  </si>
  <si>
    <t>SOC. AGRICOLA ZUCCHERA SOC. SEMPLICE</t>
  </si>
  <si>
    <t>CAA Copagri - ANCONA - 506</t>
  </si>
  <si>
    <t>RINALDI ROBERTA</t>
  </si>
  <si>
    <t>MARIOTTI DOMENICO</t>
  </si>
  <si>
    <t>SOCIETA' AGRICOLA SA' TANCA S.R.L.</t>
  </si>
  <si>
    <t>SOCIETA' AGRICOLA FIORETTI BRERA S.S.</t>
  </si>
  <si>
    <t>ROSATI GINO</t>
  </si>
  <si>
    <t>MORAZZINI MAURIZIO</t>
  </si>
  <si>
    <t>PIERETTI FAUSTO</t>
  </si>
  <si>
    <t>CASTRACANE DEGLI ANTELMINELLI CASTRUCCIO</t>
  </si>
  <si>
    <t>FERRI ROLANDO</t>
  </si>
  <si>
    <t>AGOSTI PIER FRANCESCO</t>
  </si>
  <si>
    <t>MARIOTTI GIOVANNI</t>
  </si>
  <si>
    <t>PARADISI ANNAMARIA</t>
  </si>
  <si>
    <t>BRANDIMARTI MAGDA</t>
  </si>
  <si>
    <t>MILLE QUERCE SOCIETA' AGRICOLA S.R.L.</t>
  </si>
  <si>
    <t>MARZOCCHI ALESSANDRO</t>
  </si>
  <si>
    <t>MATTEI GIOVANNI E MATTEO SOCIETA' SEMPLICE</t>
  </si>
  <si>
    <t>SOCIETA' AGRICOLA GIOVANNINI G. &amp; E. SS</t>
  </si>
  <si>
    <t>FERRI ANTONELLA</t>
  </si>
  <si>
    <t>DI LAZZARO VITTORIA</t>
  </si>
  <si>
    <t>BERNARDI ROBERTO</t>
  </si>
  <si>
    <t>ROSSI PIETRO</t>
  </si>
  <si>
    <t>STALLA SOCIALE LA COMUNE S.C.P.A.</t>
  </si>
  <si>
    <t>MASSI PAOLO</t>
  </si>
  <si>
    <t>MECOZZI GIOVAMBATTISTA</t>
  </si>
  <si>
    <t>FALCIONI LUIGI</t>
  </si>
  <si>
    <t>GUERRA MASSIMO</t>
  </si>
  <si>
    <t>SCARPETTI SERENELLA</t>
  </si>
  <si>
    <t>MAOLONI GIUSEPPINA</t>
  </si>
  <si>
    <t>SOCIETA' AGRICOLA SASSO SIMONE S.S.</t>
  </si>
  <si>
    <t>CAPOTONDI MARIA ANTONIETTA</t>
  </si>
  <si>
    <t>MALTEMPI SAMUELE</t>
  </si>
  <si>
    <t>CAA CIA - ASCOLI PICENO - 002</t>
  </si>
  <si>
    <t>SCIBE' DORIANO</t>
  </si>
  <si>
    <t>FACEN ALESSANDRO</t>
  </si>
  <si>
    <t>MORBIDELLI MARIELLA</t>
  </si>
  <si>
    <t>LUCARELLI ALBERTO</t>
  </si>
  <si>
    <t>CICCARELLI MARTINA</t>
  </si>
  <si>
    <t>BACOLINI ELEONORA</t>
  </si>
  <si>
    <t>CORFIATI LEOPOLDO</t>
  </si>
  <si>
    <t>SCOLASTICI MARCO</t>
  </si>
  <si>
    <t>GRADOZZI PRIMO</t>
  </si>
  <si>
    <t>DE ANGELIS SERGIO</t>
  </si>
  <si>
    <t>CALDARIGI NICOLAS</t>
  </si>
  <si>
    <t>VALDES VAZQUEZ SODIETE ISABEL</t>
  </si>
  <si>
    <t>CINGOLANI GIOVANNI</t>
  </si>
  <si>
    <t>VINCENTI EMANUELA</t>
  </si>
  <si>
    <t>CAMELI IRENE</t>
  </si>
  <si>
    <t>CERTELLI AMEDEO</t>
  </si>
  <si>
    <t>MASSI PATRIZIO</t>
  </si>
  <si>
    <t>VAGNONI LILIANA</t>
  </si>
  <si>
    <t>VAGNONI ADELMARCO</t>
  </si>
  <si>
    <t>GRANCI DANIELA</t>
  </si>
  <si>
    <t>CICCONOFRI RENZO</t>
  </si>
  <si>
    <t>ALEANDRI SIMONA</t>
  </si>
  <si>
    <t>GUIDOTTI MASSIMO</t>
  </si>
  <si>
    <t>LUCARELLI VALERIO</t>
  </si>
  <si>
    <t>ORTENZI CHRISTIAN</t>
  </si>
  <si>
    <t>GOBBI TIZIANA</t>
  </si>
  <si>
    <t>MENGUCCI FRANCESCA</t>
  </si>
  <si>
    <t>DE ANGELIS VINCENZA</t>
  </si>
  <si>
    <t>VANNUCCI DOMENICO</t>
  </si>
  <si>
    <t>PAZZAGLIA ADRIANO</t>
  </si>
  <si>
    <t>SOCIETA' AGRICOLA PACCUSSE S.S.</t>
  </si>
  <si>
    <t>LEVA DAVIDE</t>
  </si>
  <si>
    <t>STAFFOLANI MARIO</t>
  </si>
  <si>
    <t>PIERANTONELLI OTTORINA</t>
  </si>
  <si>
    <t>MAZZIERI ROSANNA</t>
  </si>
  <si>
    <t>"OLIVE GREGORI" SOCIETA' AGRICOLA SEMPLICE</t>
  </si>
  <si>
    <t>NERI NATALE</t>
  </si>
  <si>
    <t>GIANNINI ALFREDO</t>
  </si>
  <si>
    <t>FABBRIZI DAVID</t>
  </si>
  <si>
    <t>PAGLIALUNGA SEBASTIANO</t>
  </si>
  <si>
    <t>BICCHI FRANCESCO</t>
  </si>
  <si>
    <t>BRANDI ANDREA</t>
  </si>
  <si>
    <t>AUGUSTI ELENA</t>
  </si>
  <si>
    <t>SOCIETA' AGRICOLA PASSO GOLENA SOCIETA' SEMPLICE</t>
  </si>
  <si>
    <t>PIETRUCCI IVAN</t>
  </si>
  <si>
    <t>CAA UNICAA - PESARO E URBINO - 003</t>
  </si>
  <si>
    <t>TERRA SOCIETA' COOPERATIVA AGRICOLA SOCIALE ONLUS</t>
  </si>
  <si>
    <t>MARIANI SANDRO</t>
  </si>
  <si>
    <t>SCARABOTTI STEFANIA</t>
  </si>
  <si>
    <t>MORETTI ALESSANDRO</t>
  </si>
  <si>
    <t>DELLE FAVE RAFFAELE</t>
  </si>
  <si>
    <t>AZIENDA AGRICOLA RESAGRI DI RESPARAMBIA LUCA E C. S.S.</t>
  </si>
  <si>
    <t>SOCIETA' AGRICOLA ANDROMEDA SRL</t>
  </si>
  <si>
    <t>TRAINI MASSIMO</t>
  </si>
  <si>
    <t>SOCIETA' AGRIC."SAN FILIPPO"S.S.</t>
  </si>
  <si>
    <t>GRANDONI MAURIZIO</t>
  </si>
  <si>
    <t>BONFIGLI MARCO</t>
  </si>
  <si>
    <t>BETTI DANIELE</t>
  </si>
  <si>
    <t>CONTI ORNELLA</t>
  </si>
  <si>
    <t>LEBBORONI FRANCESCO</t>
  </si>
  <si>
    <t>ROSSI LUANA</t>
  </si>
  <si>
    <t>CHIARICI GABRIELE</t>
  </si>
  <si>
    <t>SANTOLINI SANTA</t>
  </si>
  <si>
    <t>INNOCENTI IMELDE</t>
  </si>
  <si>
    <t>PONTE ARMELLINA SOCIETA' AGRICOLA S.R.L.</t>
  </si>
  <si>
    <t>PROCACCINI ALFONSO</t>
  </si>
  <si>
    <t>SOCIETA' AGRICOLA LA CASA ROSA DI CESARONI MARCO &amp; C S.S.</t>
  </si>
  <si>
    <t>SCARDALA MARIA</t>
  </si>
  <si>
    <t>PAPA GIULIANA CARLA E NICOLA</t>
  </si>
  <si>
    <t>PATRIZI MARIA ANGELA</t>
  </si>
  <si>
    <t>MICHELINI TOCCI ANTONIETTA</t>
  </si>
  <si>
    <t>VENANZANGELI LUIGI</t>
  </si>
  <si>
    <t>ANTENUCCI MAURO</t>
  </si>
  <si>
    <t>SOCIETA AGRICOLA L OLMO S.S.</t>
  </si>
  <si>
    <t>SPERTI MASSIMILIANO</t>
  </si>
  <si>
    <t>SPADINI ATTILIO</t>
  </si>
  <si>
    <t>CUCCHI EMANUELA</t>
  </si>
  <si>
    <t>ANIMOBONO MIRELLA</t>
  </si>
  <si>
    <t>SOCIETA' AGRICOLA F.LLI SPINACI S.S.</t>
  </si>
  <si>
    <t>AZIENDA AGRICOLA CA' ROSINO SOCIETA' SEMPLICE</t>
  </si>
  <si>
    <t>SCALBI LORENA</t>
  </si>
  <si>
    <t>SOCIETA' AGRICOLA MICARELLI &amp; PIOMBETTI S.S.</t>
  </si>
  <si>
    <t>FORLUCCI AGNESE</t>
  </si>
  <si>
    <t>SOCIETA' AGRICOLA S. GIUSEPPE S.S.</t>
  </si>
  <si>
    <t>SANTINI ANTONIO</t>
  </si>
  <si>
    <t>NONNI PAOLO</t>
  </si>
  <si>
    <t>VISSANI STEFANO</t>
  </si>
  <si>
    <t>MASILI SEBASTIANO</t>
  </si>
  <si>
    <t>TRAINI FRANCESCO</t>
  </si>
  <si>
    <t>VALLESI ANTONIO</t>
  </si>
  <si>
    <t>GNASSI MARCELLO</t>
  </si>
  <si>
    <t>BARTOCCETTI ALESSIO</t>
  </si>
  <si>
    <t>TIBERI MARIA</t>
  </si>
  <si>
    <t>LIBANORE ENRICO</t>
  </si>
  <si>
    <t>SOC.AGRICOLA VILLA MANU' DI ALLEGRINI SS</t>
  </si>
  <si>
    <t>MOGLIANETTI MARCELLO</t>
  </si>
  <si>
    <t>CAPRA GIOVANNI ANTONIO</t>
  </si>
  <si>
    <t>MESCHINI MARIO</t>
  </si>
  <si>
    <t>TONTI GIORGIO</t>
  </si>
  <si>
    <t>IGNAZI ANNA MARIA</t>
  </si>
  <si>
    <t>'C.I.P.S.E.' COOP.VA INTERREGIONALE PRODUZIONE SEMENTI ELETT</t>
  </si>
  <si>
    <t>DES DORIDES MASSIMO</t>
  </si>
  <si>
    <t>PARRI ARNALDO</t>
  </si>
  <si>
    <t>IOMMI ANDREINA</t>
  </si>
  <si>
    <t>PARMEGIANI GABRIELE</t>
  </si>
  <si>
    <t>SOCIETA' AGRICOLA MAURI DOMENICO E C. S.S.</t>
  </si>
  <si>
    <t>DUCHI ALVINO</t>
  </si>
  <si>
    <t>MORETTI PIER PAOLO</t>
  </si>
  <si>
    <t>TERRE D'ALBA BIO SOCIETA' SEMPLICE AGRICOLA DI PACENTI DEBORAH E PACEN</t>
  </si>
  <si>
    <t>D'ANGELO MARIELLA</t>
  </si>
  <si>
    <t>ROSSI ROBERTO</t>
  </si>
  <si>
    <t>CARBONI MIRKO</t>
  </si>
  <si>
    <t>AZIENDA AGRICOLA FORLANI MILVA &amp; BILANCINI CLAUDIO SOCIETA' AGRICOLA S</t>
  </si>
  <si>
    <t>BUCARELLI BARBARA ADELIA MARINA</t>
  </si>
  <si>
    <t>GHIMIS DUMITRESCU MIRELA</t>
  </si>
  <si>
    <t>MONALDI GIOVANNI</t>
  </si>
  <si>
    <t>PIEROTTI CINZIA</t>
  </si>
  <si>
    <t>SOLARI MARIA CRISTINA</t>
  </si>
  <si>
    <t>MARTINELLI LUCIO</t>
  </si>
  <si>
    <t>PASOTTO FABIO LUCA MATTEO</t>
  </si>
  <si>
    <t>MARINANGELI MARIANNA</t>
  </si>
  <si>
    <t>SILIQUINI ANDREA</t>
  </si>
  <si>
    <t>PEVERINI MASSIMO</t>
  </si>
  <si>
    <t>IONNI SILVERIO OTTAVIO</t>
  </si>
  <si>
    <t>PAVESE MARIA - CECILIA</t>
  </si>
  <si>
    <t>SORICETTI VIOLITA</t>
  </si>
  <si>
    <t>GRASSI LILIANA</t>
  </si>
  <si>
    <t>SOCIETA' AGRICOLA L'ORCHIDEA SRL</t>
  </si>
  <si>
    <t>ZAJKO KSENIA</t>
  </si>
  <si>
    <t>AMABILI GINO</t>
  </si>
  <si>
    <t>UBALDI MARIA</t>
  </si>
  <si>
    <t>PIEVALTA SOCIETA' AGRICOLA A RESPONSABILITA' LIMITATA</t>
  </si>
  <si>
    <t>VAGNONI GABRIELE</t>
  </si>
  <si>
    <t>CARBONI MARINO</t>
  </si>
  <si>
    <t>CICILIANI BASILIO</t>
  </si>
  <si>
    <t>CROCE SARAH</t>
  </si>
  <si>
    <t>VAGNONI ELVIO</t>
  </si>
  <si>
    <t>GATTI MATTIA</t>
  </si>
  <si>
    <t>TORRI MARIA COSTANZA</t>
  </si>
  <si>
    <t>ANGELINI MARINUCCI ALDO</t>
  </si>
  <si>
    <t>BARTOLUCCI MARISA</t>
  </si>
  <si>
    <t>SOCIETA' AGRICOLA VALLESI DI VALLESI ANNALAURA &amp; C.</t>
  </si>
  <si>
    <t>DOMODIMONTI SRL SOCIETA' AGRICOLA</t>
  </si>
  <si>
    <t>VESPRINI MARIA PAOLA</t>
  </si>
  <si>
    <t>CECCOLI CINZIA</t>
  </si>
  <si>
    <t>ORFEI MAURIZIO</t>
  </si>
  <si>
    <t>CAUCCI VINCENZO</t>
  </si>
  <si>
    <t>SPERANZA NICO</t>
  </si>
  <si>
    <t>SERVIZI CONSUELO</t>
  </si>
  <si>
    <t>IEZZI GIOVANNI</t>
  </si>
  <si>
    <t>RICOTTINI GIAN CARLO</t>
  </si>
  <si>
    <t>ORLANDI LINA</t>
  </si>
  <si>
    <t>SOCIETA' AGRICOLA PASTORELLO DI CUPI DI CIAMMARUCHI ARCANGELO E C. S.S</t>
  </si>
  <si>
    <t>MADONNA DELLE API S. S. - SOCIETA' AGRICOLA</t>
  </si>
  <si>
    <t>BENEDETTI MASSIMO &amp; NAZZARENO SOCIETA' SEMPLICE</t>
  </si>
  <si>
    <t>BIOCCO MARIA</t>
  </si>
  <si>
    <t>VENANZETTI EMANUELA</t>
  </si>
  <si>
    <t>DOTTORI EDOARDO</t>
  </si>
  <si>
    <t>ERMANNI GIANLUCA</t>
  </si>
  <si>
    <t>F.LLI PIUNTI &amp; FIGLI SDF</t>
  </si>
  <si>
    <t>CARAFFA POMPONIO</t>
  </si>
  <si>
    <t>BERETTA PAOLO</t>
  </si>
  <si>
    <t>CAA LiberiAgricoltori - MACERATA - 004</t>
  </si>
  <si>
    <t>SOCIETA' AGRICOLA F.LLI PARIS S.S.</t>
  </si>
  <si>
    <t>AGRIDEA SNC DI RUGGERI VITTORIO &amp; . SOCIETA' AGRICOLA</t>
  </si>
  <si>
    <t>FRANCIONI CATERINA</t>
  </si>
  <si>
    <t>VAGNARELLI ENRICO - GABRIELLI VINCENZA</t>
  </si>
  <si>
    <t>FONDAZIONE DUCA ROBERTO FERRETTI DI CASTELFERRETTO</t>
  </si>
  <si>
    <t>GAETANI ANNA MARIA</t>
  </si>
  <si>
    <t>FALCIONI MAURIZIO</t>
  </si>
  <si>
    <t>MAGNANI RENZO</t>
  </si>
  <si>
    <t>FIECCHI LUCIANO</t>
  </si>
  <si>
    <t>CARBONI MATTEO</t>
  </si>
  <si>
    <t>SOCIETA' AGRICOLA CAPRIOTTI SS</t>
  </si>
  <si>
    <t>CHERUBINI LAURO</t>
  </si>
  <si>
    <t>CAA Confagricoltura - BERGAMO - 001</t>
  </si>
  <si>
    <t>SOCIETA' AGRICOLA LUVIA DI PERUGINI LORENA C. S.S.</t>
  </si>
  <si>
    <t>TASCHINI DOMENICO</t>
  </si>
  <si>
    <t>PEROTTI BERNARDINA</t>
  </si>
  <si>
    <t>RANGO ZELIA</t>
  </si>
  <si>
    <t>ANTINORI SILVIA</t>
  </si>
  <si>
    <t>BARTOCCI GUIDO</t>
  </si>
  <si>
    <t>POLACCO LORENZO</t>
  </si>
  <si>
    <t>MELIFFI FABIO &amp; GIAMPAOLO SNC</t>
  </si>
  <si>
    <t>BARCELLI ARMANDO</t>
  </si>
  <si>
    <t>SOCIETA' AGRICOLA LIBERTI GABRIELE &amp; C. S.S.</t>
  </si>
  <si>
    <t>LUCARELLI PATRIZIA</t>
  </si>
  <si>
    <t>PIERSANTI RENZO</t>
  </si>
  <si>
    <t>GABRIELLI LUIGI</t>
  </si>
  <si>
    <t>GIACOMAZZI LUCA</t>
  </si>
  <si>
    <t>SOCIETA' AGRICOLA LA VITA E' BELLA S.S.</t>
  </si>
  <si>
    <t>FEDELI SIMONE</t>
  </si>
  <si>
    <t>GRANDONI CORRADO</t>
  </si>
  <si>
    <t>COLA FRANCESCO</t>
  </si>
  <si>
    <t>SOCIETA' AGRICOLA SAN LORENZO S.S.</t>
  </si>
  <si>
    <t>SILENZI VITO</t>
  </si>
  <si>
    <t>PESARESI GIORDANO</t>
  </si>
  <si>
    <t>DERNA PEROZZI ELIO</t>
  </si>
  <si>
    <t>BATTAGLIA RICCARDO</t>
  </si>
  <si>
    <t>MONTALBINI MARINO</t>
  </si>
  <si>
    <t>PALEANI STEFANO E FRATELLI - SOCIETA' SEMPLICE -</t>
  </si>
  <si>
    <t>CARDINALI TINA</t>
  </si>
  <si>
    <t>EREDI GOBBI GIANNINA SOCIETA' AGRICOLA SOCIETA' SEMPLICE</t>
  </si>
  <si>
    <t>AZIENDA AGRARIA S.GIOVANNI DI MICHETTI MARCELLO &amp; C. S.S.</t>
  </si>
  <si>
    <t>AURORA DI GABRIELLI-SPACCASASSI-PIGNATI-PUGLIESE CIOMMI</t>
  </si>
  <si>
    <t>LUZI GIANLUIGI E ANDREA S.S.</t>
  </si>
  <si>
    <t>SOCIETA' AGRICOLA VERDEPIANO S.S.</t>
  </si>
  <si>
    <t>SANTONI SANTE</t>
  </si>
  <si>
    <t>DA ROS GUALBERTO</t>
  </si>
  <si>
    <t>MACCARI ANTONIO</t>
  </si>
  <si>
    <t>FERRETTI ARCANGELO</t>
  </si>
  <si>
    <t>FEDE MAURIZIO</t>
  </si>
  <si>
    <t>PERTICARA' MARIA CESIRA</t>
  </si>
  <si>
    <t>NESPECA SANTE</t>
  </si>
  <si>
    <t>LA VERGARA BORGO RURALE SOCIETA' AGRICOLA DI RAPINI LUCIANO &amp; MARTONI</t>
  </si>
  <si>
    <t>PILATO SOCIETA' AGRICOLA S.R.L. A CAPITALE RIDOTTO</t>
  </si>
  <si>
    <t>S.T.E.A.M. SUSTAINABLE TECHNOLOGIES FOR ENVIRONMENT &amp; AGRICULTURE IN M</t>
  </si>
  <si>
    <t>CECCAROLI LUISA</t>
  </si>
  <si>
    <t>MARCACCINI ANTONIA</t>
  </si>
  <si>
    <t>SOCIETA' AGRICOLA FIECCHI ADOLFO SOC. SEMPLICE</t>
  </si>
  <si>
    <t>RENALDI SIMONA</t>
  </si>
  <si>
    <t>LEONORI ROSA ANGELICA</t>
  </si>
  <si>
    <t>SOCIETA' AGRICOLA SB DI STAGNOZZI E BADIOLI S.S.</t>
  </si>
  <si>
    <t>AZIENDA AGRICOLA COLFANO S.S. DI VISSANI PAOLO &amp; STEFANO</t>
  </si>
  <si>
    <t>ANGELI SIMONE</t>
  </si>
  <si>
    <t>FELICI STEFANIA</t>
  </si>
  <si>
    <t>FATTORINI PAOLA</t>
  </si>
  <si>
    <t>PASCUCCI FRANCESCA</t>
  </si>
  <si>
    <t>SOCIETA' AGRICOLA VILLA ADRIANA S.S.</t>
  </si>
  <si>
    <t>ARGALIA GIORGIO</t>
  </si>
  <si>
    <t>MATTIOLI ALESSANDRO</t>
  </si>
  <si>
    <t>CAA Copagri - PESARO E URBINO - 503</t>
  </si>
  <si>
    <t>CANCELLIERI FILIPPO</t>
  </si>
  <si>
    <t>COCCETTINI GIULIANA</t>
  </si>
  <si>
    <t>DI GIOSIA MARISA</t>
  </si>
  <si>
    <t>CELANI GRAZIANO</t>
  </si>
  <si>
    <t>SOCIETA' AGRICOLA DE MICHELIS DI DE MICHELIS MARCO &amp; LUIGI S.S.</t>
  </si>
  <si>
    <t>BATTISTINI MASSIMO</t>
  </si>
  <si>
    <t>FOSCOLI LUCIANO</t>
  </si>
  <si>
    <t>PARIS COSTANTINO</t>
  </si>
  <si>
    <t>CANTUCCI ROBERTO</t>
  </si>
  <si>
    <t>FERRI ENRICO</t>
  </si>
  <si>
    <t>CIUFOLI DANILO</t>
  </si>
  <si>
    <t>BONCI DEL BENE NICCOLO'</t>
  </si>
  <si>
    <t>BELLEGGIA CRISTINA</t>
  </si>
  <si>
    <t>SCIAMANNA BLANDINA</t>
  </si>
  <si>
    <t>PACI PAOLO</t>
  </si>
  <si>
    <t>ALBANI ALFIO</t>
  </si>
  <si>
    <t>FIORONI GIULIO</t>
  </si>
  <si>
    <t>LA SANTOREGGIA SOCIETA' AGRICOLA DI LATTANZI ELISA E MICHELE S.S.</t>
  </si>
  <si>
    <t>CANDELLORI EMIDIO</t>
  </si>
  <si>
    <t>OLIVIERI SANTERO</t>
  </si>
  <si>
    <t>STELLATO SALVATORE</t>
  </si>
  <si>
    <t>MARZI LUIGINO E MARZI FLORINDO SOCIETA' SEMPLICE</t>
  </si>
  <si>
    <t>BOZETA NORA NIEVES</t>
  </si>
  <si>
    <t>BRUSCOLI NADIA</t>
  </si>
  <si>
    <t>EGIDI SERGIO</t>
  </si>
  <si>
    <t>CARSETTI PASQUALE</t>
  </si>
  <si>
    <t>STRACCI ADRIANA</t>
  </si>
  <si>
    <t>STORANI LAURA</t>
  </si>
  <si>
    <t>VIOLA DINO</t>
  </si>
  <si>
    <t>ABDYRRAHMANI MAJLINDA</t>
  </si>
  <si>
    <t>AZ.AGR."LA TARTARUGA" DI SANDRO E ALESSIA S.S.AGRICOLA</t>
  </si>
  <si>
    <t>SOCIETA' AGRICOLA CA' DI LUNA S.S.</t>
  </si>
  <si>
    <t>AZIENDA VINICOLA UMANI RONCHI SPA</t>
  </si>
  <si>
    <t>DURANTI ELENA</t>
  </si>
  <si>
    <t>GREGANTI CATIA</t>
  </si>
  <si>
    <t>TRAINI GRAZIELLA</t>
  </si>
  <si>
    <t>AMELI CORRADO</t>
  </si>
  <si>
    <t>COCCIA GIOVANNI</t>
  </si>
  <si>
    <t>LISI ARGO</t>
  </si>
  <si>
    <t>ANGELONI ROSELLA</t>
  </si>
  <si>
    <t>FAUR CRISTINA ANCUTA</t>
  </si>
  <si>
    <t>MENTUCCI MARCO</t>
  </si>
  <si>
    <t>GIAMPIERI LORELLA</t>
  </si>
  <si>
    <t>GEMINIANI MARIA</t>
  </si>
  <si>
    <t>CRISPICIANI SARA</t>
  </si>
  <si>
    <t>"AZIENDA AGRICOLA CRUCIANO" DI VILLA PATRIZIO E NORIS S.S.</t>
  </si>
  <si>
    <t>MARI STEFANO</t>
  </si>
  <si>
    <t>MONTI FILIPPO</t>
  </si>
  <si>
    <t>MARINELLI MASSIMILIANO</t>
  </si>
  <si>
    <t>DEL ROMANO ROBERTO</t>
  </si>
  <si>
    <t>PIZZARELLO MARIA</t>
  </si>
  <si>
    <t>CECCAROLI GRAZIANO</t>
  </si>
  <si>
    <t>ALUNNI ANDREA</t>
  </si>
  <si>
    <t>VECCHIOTTI MARIA TERESA</t>
  </si>
  <si>
    <t>SOCIETA' AGRICOLA IL MULINO S.R.L.</t>
  </si>
  <si>
    <t>ANDREANI SIMONA</t>
  </si>
  <si>
    <t>COOPERATIVA AGRICOLA 'LA PANTANA' -SOC.COOP. A R.L.</t>
  </si>
  <si>
    <t>BUONGARZONI UMBERTO</t>
  </si>
  <si>
    <t>MALAVOLTA LIVIO</t>
  </si>
  <si>
    <t>SARTINI EMANUELA</t>
  </si>
  <si>
    <t>GIULIANI MATTEO</t>
  </si>
  <si>
    <t>CAA UNICAA - ASCOLI PICENO - 003</t>
  </si>
  <si>
    <t>VITALI ROSITA</t>
  </si>
  <si>
    <t>LA PIEVE SOCIETA' AGRICOLA S.S.</t>
  </si>
  <si>
    <t>CICCIOLI LUIGI</t>
  </si>
  <si>
    <t>IANNI FRANCO</t>
  </si>
  <si>
    <t>FICCADENTI VINCENZO</t>
  </si>
  <si>
    <t>TASSI UMBERTO</t>
  </si>
  <si>
    <t>MENTILI IVANO</t>
  </si>
  <si>
    <t>COCCETTI MADDALENA</t>
  </si>
  <si>
    <t>SILIQUINI TONINA</t>
  </si>
  <si>
    <t>BAGALINI SAURO</t>
  </si>
  <si>
    <t>ARCADU PIETRO</t>
  </si>
  <si>
    <t>CORRADETTI BRUNO</t>
  </si>
  <si>
    <t>SCAGNETTI GIUSEPPA</t>
  </si>
  <si>
    <t>CERULLI MASSIMO</t>
  </si>
  <si>
    <t>PETROLATI SANTE</t>
  </si>
  <si>
    <t>MAZZONI PAOLO</t>
  </si>
  <si>
    <t>SOCIETA' AGRICOLA FRATELLI IENCENELLA S.S.</t>
  </si>
  <si>
    <t>MASSI ROMOLO</t>
  </si>
  <si>
    <t>FAZZINI PAOLA</t>
  </si>
  <si>
    <t>MAROZZI ANNA</t>
  </si>
  <si>
    <t>SERRA ANNA-IDA</t>
  </si>
  <si>
    <t>AZIENDA AGRICOLA FORNACI SABINE SS</t>
  </si>
  <si>
    <t>DE SANTIS RAFFAELE</t>
  </si>
  <si>
    <t>SOCCI ANDREA</t>
  </si>
  <si>
    <t>MARONI ANNA</t>
  </si>
  <si>
    <t>CAPRIOTTI ELENA</t>
  </si>
  <si>
    <t>FERRETTI QUINTO</t>
  </si>
  <si>
    <t>GAMBETTI ANNA</t>
  </si>
  <si>
    <t>LUCIANI ANTONIO</t>
  </si>
  <si>
    <t>SANTINI RITA</t>
  </si>
  <si>
    <t>AMELI CARLO</t>
  </si>
  <si>
    <t>MANIERI DAVIDE</t>
  </si>
  <si>
    <t>CAPRARA PATRIZIA</t>
  </si>
  <si>
    <t>CANCELLIERI PIETRO</t>
  </si>
  <si>
    <t>MARCHETTI DOMENICO</t>
  </si>
  <si>
    <t>SIBILLA &amp; PSICHE SOCIETA' SEMPLICE AGRICOLA-SOCIETA' AGRICOLA</t>
  </si>
  <si>
    <t>FABBRETTI GRAZIANO</t>
  </si>
  <si>
    <t>MORI ELISABETTA</t>
  </si>
  <si>
    <t>CORRADINI GIOVANNA</t>
  </si>
  <si>
    <t>LUCANGELI VINCENZO</t>
  </si>
  <si>
    <t>LUMINARI LAURETTA</t>
  </si>
  <si>
    <t>SEVERINI GIAMPAOLO</t>
  </si>
  <si>
    <t>D'ANGELO DANIELE</t>
  </si>
  <si>
    <t>CIAMPICHETTI VALTER</t>
  </si>
  <si>
    <t>AGRIFOREST DI CORRADINI NARCISO E F.LLI SNC</t>
  </si>
  <si>
    <t>SOCIETA' AGRICOLA COCCI GRIFONI LUIGI E GIOVANNI S.S.</t>
  </si>
  <si>
    <t>STIGLIANO SOCIETA' COOPERATIVA AGRICOLA</t>
  </si>
  <si>
    <t>OSSOLI EROLO E LAMBERTUCCI LINA SOCIETA' SEMPLICE</t>
  </si>
  <si>
    <t>CARAFFA MARIA</t>
  </si>
  <si>
    <t>SPINELLI SIMONE</t>
  </si>
  <si>
    <t>ELISEI VANDA</t>
  </si>
  <si>
    <t>CACCHIARELLI MATTIA</t>
  </si>
  <si>
    <t>GIRELLI ROBERTO</t>
  </si>
  <si>
    <t>BALDARELLI FRANCESCO</t>
  </si>
  <si>
    <t>FRATTINI LAURA</t>
  </si>
  <si>
    <t>MAGNANI LUCIANO</t>
  </si>
  <si>
    <t>MAURIZI LUIGINO</t>
  </si>
  <si>
    <t>BENEDETTI LUCA</t>
  </si>
  <si>
    <t>CIACCI BENEDETTO</t>
  </si>
  <si>
    <t>SOCIETA' AGRICOLA FORESTALE PIANCIANO SOCIETA' SEMPLICE</t>
  </si>
  <si>
    <t>LAPPONI BARBARA</t>
  </si>
  <si>
    <t>ROSSI FOSCA</t>
  </si>
  <si>
    <t>SPERANZA MARIA</t>
  </si>
  <si>
    <t>PEDINI ALBERTO</t>
  </si>
  <si>
    <t>PRELATO SOCIETA' AGRICOLA A RESPONSABILITA' LIMITATA</t>
  </si>
  <si>
    <t>MODESTI RANIERO</t>
  </si>
  <si>
    <t>MICCIO MARCELLO</t>
  </si>
  <si>
    <t>SALVATORI NAZZARENO</t>
  </si>
  <si>
    <t>PRIORI BRUNELLA</t>
  </si>
  <si>
    <t>CATALDI ANTONIO</t>
  </si>
  <si>
    <t>CAPRIOTTI GABRIELE &amp; SPINOZZI BRUNA</t>
  </si>
  <si>
    <t>ROSSI PIER PAOLO</t>
  </si>
  <si>
    <t>LEONARDI VITO</t>
  </si>
  <si>
    <t>BONOMI SILVIA</t>
  </si>
  <si>
    <t>EREDI GIOMBI SANTA SOCIETA' SEMPLICE</t>
  </si>
  <si>
    <t>ROSSI MASSIMO</t>
  </si>
  <si>
    <t>DI CARO CLAUDIO</t>
  </si>
  <si>
    <t>AZ. AGR. BARBONI DI BARBONI DAVIDE E GIANCARLA SOCIETA' SEMPLICE AGRIC</t>
  </si>
  <si>
    <t>GIOVANNINI EMANUELE</t>
  </si>
  <si>
    <t>AZ. AGR. LE CORTI DEL FRATE</t>
  </si>
  <si>
    <t>VISSANI GRAZIELLA</t>
  </si>
  <si>
    <t>SOCIETA' AGRICOLA MARI MAURIZIO &amp; C. S.S.</t>
  </si>
  <si>
    <t>CAA Copagri - ASCOLI PICENO - 502</t>
  </si>
  <si>
    <t>GABRIELLI SANTE</t>
  </si>
  <si>
    <t>AZIENDA AGRICOLA SAN GERMANO S.S.</t>
  </si>
  <si>
    <t>ROSATI CARLO E GIOVANNA SOCIETA' AGRICOLA</t>
  </si>
  <si>
    <t>ADVERSI ELISABETTA</t>
  </si>
  <si>
    <t>CARDUCCI LONGINO</t>
  </si>
  <si>
    <t>COTTIGNOLI ELISABETTA</t>
  </si>
  <si>
    <t>FENICI ALBERTO</t>
  </si>
  <si>
    <t>NICOLETTI LORELLA</t>
  </si>
  <si>
    <t>SOC. AGRICOLA MONTEGEMMO DI ROMALDINI ADRIANA &amp; C SAS</t>
  </si>
  <si>
    <t>FE.MA. S.A.S. DI GOLINELLI STEFANO &amp; C.</t>
  </si>
  <si>
    <t>ANGELONI LUCA</t>
  </si>
  <si>
    <t>PENTAPLAST S.R.L.</t>
  </si>
  <si>
    <t>TOMBINI MARIA GIUSEPPINA</t>
  </si>
  <si>
    <t>GHISLIERI MARAZZI MICHELE ANGELO</t>
  </si>
  <si>
    <t>CAA UNSIC - ASCOLI PICENO - 001</t>
  </si>
  <si>
    <t>PETRUCCI GIOVANNI</t>
  </si>
  <si>
    <t>MASCIOLI MIRCO</t>
  </si>
  <si>
    <t>PIERSANTI LUIGI</t>
  </si>
  <si>
    <t>MAURIZI LUIGINA MARIA</t>
  </si>
  <si>
    <t>MANCINELLI LUCIANA</t>
  </si>
  <si>
    <t>SOCIETA AGRICOLA CONFORTI GIULIANO E LUCIANO S.S.</t>
  </si>
  <si>
    <t>MUNTE OMO SOCIETA' AGRICOLA SRL</t>
  </si>
  <si>
    <t>TORTOLINI ROSANNA</t>
  </si>
  <si>
    <t>PEROTTI FRANCESCO</t>
  </si>
  <si>
    <t>VITALI GABRIELE</t>
  </si>
  <si>
    <t>GALIE' FERNANDO</t>
  </si>
  <si>
    <t>AGRI-BIO COLCERASA DI GABRIELLI GERMANO E C. SOCIETA AGRICOLA SEMPLICE</t>
  </si>
  <si>
    <t>ALESIANI LINO</t>
  </si>
  <si>
    <t>SILVESTRI FRANCO</t>
  </si>
  <si>
    <t>SUBRINI GIANFRANCO</t>
  </si>
  <si>
    <t>FORESI MASSIMO</t>
  </si>
  <si>
    <t>PICCARI MASSIMILIANO</t>
  </si>
  <si>
    <t>CALZA ADRIANO &amp; ANTONIO</t>
  </si>
  <si>
    <t>VITALI GIUSEPPE E VITTORIO SOCIET? AGRICOLA S.S.</t>
  </si>
  <si>
    <t>BALDONCINI TERESA-RIETI FRANCO</t>
  </si>
  <si>
    <t>SPURIO MARISA</t>
  </si>
  <si>
    <t>SOCIETA' AGRICOLA CA'LIPTRA S.S.</t>
  </si>
  <si>
    <t>MENNECOZZI PIA</t>
  </si>
  <si>
    <t>PASQUALINI MARCO</t>
  </si>
  <si>
    <t>D'ERASMO PASQUALE</t>
  </si>
  <si>
    <t>CONCORDIA DEBORA</t>
  </si>
  <si>
    <t>LAURENZI CORRADO E ISIDORO SOC. SEMPLICE</t>
  </si>
  <si>
    <t>TURCHI RENZO</t>
  </si>
  <si>
    <t>PIERFEDERICI TOMMASO</t>
  </si>
  <si>
    <t>GALLI SIMONE</t>
  </si>
  <si>
    <t>DA SILVA LAURA ANNABEL</t>
  </si>
  <si>
    <t>CAA Copagri - ANCONA - 504</t>
  </si>
  <si>
    <t>SERENELLI PAOLO</t>
  </si>
  <si>
    <t>SOCIETA' AGRICOLA MONTI SOCIETA' SEMPLICE</t>
  </si>
  <si>
    <t>FRATINI BRUNA</t>
  </si>
  <si>
    <t>FRITTELLI DEEPANJOLI</t>
  </si>
  <si>
    <t>TANCINI ORAZIO</t>
  </si>
  <si>
    <t>LANDI ESTER</t>
  </si>
  <si>
    <t>HORBATA MARIIA</t>
  </si>
  <si>
    <t>FIORINI CARLA</t>
  </si>
  <si>
    <t>CATANI DOMENICO</t>
  </si>
  <si>
    <t>BENZI ERALDO</t>
  </si>
  <si>
    <t>VERONA MIRKO ORFEO</t>
  </si>
  <si>
    <t>GENTILOTTI GIUSEPPE</t>
  </si>
  <si>
    <t>FORTI FABIO</t>
  </si>
  <si>
    <t>PROSPERI MARCO</t>
  </si>
  <si>
    <t>AZ. AGR.DE BLASIO FILIPPO E C.SOCIETA' AGRICOLA S.S.</t>
  </si>
  <si>
    <t>FIECCHI LUDOVICO</t>
  </si>
  <si>
    <t>ROSSETTI VINCENZO</t>
  </si>
  <si>
    <t>QUATTROCCHI CATIA</t>
  </si>
  <si>
    <t>MINGARELLI GUIDO</t>
  </si>
  <si>
    <t>DI GIACOMI ALDO</t>
  </si>
  <si>
    <t>A.G.A SOCIETA' AGRICOLA ASSOCIAZIONE GIOVANI AGRICOLTORI DI LODDO NICO</t>
  </si>
  <si>
    <t>GIOVAGNOLI STEFANIA</t>
  </si>
  <si>
    <t>PESARESI SAURO</t>
  </si>
  <si>
    <t>FERRI MAURIZIO</t>
  </si>
  <si>
    <t>MACCARI TIZIANA</t>
  </si>
  <si>
    <t>CRISTOFANELLI GIOVANNI</t>
  </si>
  <si>
    <t>MARINI GIOVANNI</t>
  </si>
  <si>
    <t>PUCCIARELLI MAURO</t>
  </si>
  <si>
    <t>FABRIZI FAUSTO</t>
  </si>
  <si>
    <t>GIULIANA CAMPOLUCCI &amp; C. S.A.S.</t>
  </si>
  <si>
    <t>CASALE DA' RO' SOCIETA' SEMPLICE AGRICOLA DI PACCUSSE ROBERTA E MARCHE</t>
  </si>
  <si>
    <t>GIROLOMONI GIOVANNI-BATTISTA</t>
  </si>
  <si>
    <t>AGRIRIDOLFI SOCIETA' AGRICOLA DI SBROLLI</t>
  </si>
  <si>
    <t>DONATI GIANCARLO</t>
  </si>
  <si>
    <t>NARDINI MARIA GRAZIA</t>
  </si>
  <si>
    <t>LEARDINI SUSANNA</t>
  </si>
  <si>
    <t>PISTOLESI DOMENICO</t>
  </si>
  <si>
    <t>MICCIO ROBERTO</t>
  </si>
  <si>
    <t>MORETTI PIETRO</t>
  </si>
  <si>
    <t>FILIPPINI ERMENEGILDO</t>
  </si>
  <si>
    <t>IDDAS FRANCESCO</t>
  </si>
  <si>
    <t>CORRADETTI RENATO</t>
  </si>
  <si>
    <t>PICCIONI GIOVANNI</t>
  </si>
  <si>
    <t>SERRE ALTE S.R.L. SOCIETA' AGRICOLA</t>
  </si>
  <si>
    <t>GENTILI CHIARA</t>
  </si>
  <si>
    <t>FAINI ANTONELLA EMMA</t>
  </si>
  <si>
    <t>FALCIONI FABRIZIO</t>
  </si>
  <si>
    <t>GALLI MARIA CLARA</t>
  </si>
  <si>
    <t>CAPANNINI ASSUNTA</t>
  </si>
  <si>
    <t>SAGRIPANTI CLAUDIO</t>
  </si>
  <si>
    <t>MARIOTTI LORENZO</t>
  </si>
  <si>
    <t>BOTTEGA ELISABETTA</t>
  </si>
  <si>
    <t>SCORTICHINI ALBERTO</t>
  </si>
  <si>
    <t>LEONI STEFANO</t>
  </si>
  <si>
    <t>STECA ROSSANA</t>
  </si>
  <si>
    <t>TORBIDONI CINZIA</t>
  </si>
  <si>
    <t>PATARACCHIA ULDERICA</t>
  </si>
  <si>
    <t>MASSIMI LUCA</t>
  </si>
  <si>
    <t>TOFONI PAOLO</t>
  </si>
  <si>
    <t>PRIMUCCI SIMONE</t>
  </si>
  <si>
    <t>CUGURU ANNA</t>
  </si>
  <si>
    <t>CECILIA FABIO</t>
  </si>
  <si>
    <t>SOCIETA'AGRICOLA "PONTE ETE" DI LUPI EVA &amp; C.S.S.</t>
  </si>
  <si>
    <t>SOCIETA' AGRICOLA VILLA LE CASE DI ARNAUTOVICI CRISTINA E C. SS</t>
  </si>
  <si>
    <t>FALCIONI ROBERTO</t>
  </si>
  <si>
    <t>ANSUINI VANDA</t>
  </si>
  <si>
    <t>SOCIETA' AGRICOLA MAGNANI LEONARDO &amp; AGOSTINO S.S.</t>
  </si>
  <si>
    <t>RONCONI MAURIZIO</t>
  </si>
  <si>
    <t>BRUNORI DEA</t>
  </si>
  <si>
    <t>PIERONI FRANCESCO</t>
  </si>
  <si>
    <t>NICOLELLI ROBERTO</t>
  </si>
  <si>
    <t>COLLELAGO SOCIETA' AGRICOLA SEMPLICE DI CASTELLANO CHRISTIAN E C.</t>
  </si>
  <si>
    <t>CANCELLIERI MASSIMO</t>
  </si>
  <si>
    <t>FORESTALE FIUNGO SOCIETA' AGRICOLA S.A.S DI ALESSANDRO E RICCARDO NICO</t>
  </si>
  <si>
    <t>BEI LUCIANO</t>
  </si>
  <si>
    <t>BENADDUCI BENIGNI OLIVIERI LUDOVICA</t>
  </si>
  <si>
    <t>AGOSTINI MARINA</t>
  </si>
  <si>
    <t>BERNETTI SEBASTIANO</t>
  </si>
  <si>
    <t>FERRI MATTIA</t>
  </si>
  <si>
    <t>PACIONI ANGELA E FAZI UGO SOCIETA' SEMPLICE</t>
  </si>
  <si>
    <t>SOCIETA' AGRICOLA VALERIANI LINO E LUIGI S. S.</t>
  </si>
  <si>
    <t>CECCHINI FRANCO</t>
  </si>
  <si>
    <t>SFORZA LUIGI</t>
  </si>
  <si>
    <t>OTTAVIANI FLORIANO</t>
  </si>
  <si>
    <t>EMIDI STANISLAO</t>
  </si>
  <si>
    <t>CALZOLARI LILIA</t>
  </si>
  <si>
    <t>VALORI GUIDO</t>
  </si>
  <si>
    <t>PARADISI E DE SANTIS SOCIETA' SEMPLICE AGRICOLA</t>
  </si>
  <si>
    <t>SOCIETA' AGRICOLA GIROLAMI STEFANIA E SONIA S.S.</t>
  </si>
  <si>
    <t>DE MICHELIS RENATO</t>
  </si>
  <si>
    <t>ROMAGNOLI EMILIO</t>
  </si>
  <si>
    <t>CORRENTI SIMONE</t>
  </si>
  <si>
    <t>GUIDUCCI MARIANGELA</t>
  </si>
  <si>
    <t>PERUZZINI LAURA</t>
  </si>
  <si>
    <t>ORLANDI SILVIA</t>
  </si>
  <si>
    <t>FIECCONI ANGELA</t>
  </si>
  <si>
    <t>PIERONI FRANCESCA</t>
  </si>
  <si>
    <t>FULVI FRANCESCO</t>
  </si>
  <si>
    <t>CAMOSCI TONINO</t>
  </si>
  <si>
    <t>SOCIETA' AGRICOLA MANCINI MICHELE E C. S.S</t>
  </si>
  <si>
    <t>NUCCI LUCIANO</t>
  </si>
  <si>
    <t>MARI ANNA MARIA</t>
  </si>
  <si>
    <t>BALDINI ALESSANDRA</t>
  </si>
  <si>
    <t>MOLINARI NAZZARENO E AGASUCCI BERNARDINA S.S.</t>
  </si>
  <si>
    <t>MAZZALUPI GIULIANO</t>
  </si>
  <si>
    <t>CUTINI GIUSEPPE</t>
  </si>
  <si>
    <t>MERCURI FILOMENA</t>
  </si>
  <si>
    <t>BETTINI GIULIO</t>
  </si>
  <si>
    <t>MARINI MARIA PATRIZIA</t>
  </si>
  <si>
    <t>BATTISTINI RICCARDO</t>
  </si>
  <si>
    <t>MATTEI GIANFRANCO</t>
  </si>
  <si>
    <t>MIETTI IGNAZIO</t>
  </si>
  <si>
    <t>PIERSIMONI RENATO</t>
  </si>
  <si>
    <t>FALASCA ZAMPONI STEFANIA</t>
  </si>
  <si>
    <t>FRATINI MIRCO</t>
  </si>
  <si>
    <t>SENZACQUA GIACOMO</t>
  </si>
  <si>
    <t>GIANNINI GIANCARLO</t>
  </si>
  <si>
    <t>MONTICELLI ODA</t>
  </si>
  <si>
    <t>PAOLONI LAURA</t>
  </si>
  <si>
    <t>BRANCHESI ROSA</t>
  </si>
  <si>
    <t>FRANCONI CLAUDIA</t>
  </si>
  <si>
    <t>ERCOLI GIANCARLO</t>
  </si>
  <si>
    <t>PIERELLI ROMINA</t>
  </si>
  <si>
    <t>CAMPILIA LUCREZIA</t>
  </si>
  <si>
    <t>APRILETTI RODOLFO</t>
  </si>
  <si>
    <t>ROSSI VALERIO</t>
  </si>
  <si>
    <t>CICCOLINI FABRIZIO</t>
  </si>
  <si>
    <t>SOCIETA' AGRICOLA BORGO PAGLIANETTO S.R.L.</t>
  </si>
  <si>
    <t>GIORGINI CLAUDIA</t>
  </si>
  <si>
    <t>SEMIKOLENNYKH TATIANA</t>
  </si>
  <si>
    <t>TORRESI MARTINA</t>
  </si>
  <si>
    <t>FRATINI MASSIMO</t>
  </si>
  <si>
    <t>SOCIETA AGRICOLA FATTORIA AGRITURISTICA BIOLOGICA CASALE VENEZIA S.S.</t>
  </si>
  <si>
    <t>MATTIOLI LEDA</t>
  </si>
  <si>
    <t>CURINA ANNA-GRAZIA</t>
  </si>
  <si>
    <t>SOCIETA'AGRICOLA IL SALTO S.S.</t>
  </si>
  <si>
    <t>RICCIONI FRANCESCO</t>
  </si>
  <si>
    <t>AZIENDA AGRICOLA CA' MADDALENA SOCIETA' SEMPLICE</t>
  </si>
  <si>
    <t>DI SILVESTRO ANTONIO</t>
  </si>
  <si>
    <t>SOCIETA' AGRICOLA LE CANTINE DEL CARDINALE DI CARDINALI GISELLE E C. S</t>
  </si>
  <si>
    <t>IACCHINI STEFANO</t>
  </si>
  <si>
    <t>CANCELLIERI GINO</t>
  </si>
  <si>
    <t>SCHIAVONI AMABILIA</t>
  </si>
  <si>
    <t>URBINATI ANNA MARIA</t>
  </si>
  <si>
    <t>SOCIETA' AGRICOLA ROMANINI DOMENICO E ALESSANDRO SOCIETA' SEMPLICE</t>
  </si>
  <si>
    <t>BETTI ALESSANDRO</t>
  </si>
  <si>
    <t>DE ANGELIS PAOLO</t>
  </si>
  <si>
    <t>BANCI STEFANO</t>
  </si>
  <si>
    <t>CANCELLIERI LUIGI</t>
  </si>
  <si>
    <t>PASCUCCI GIULIANA</t>
  </si>
  <si>
    <t>PANICHI MICHELE</t>
  </si>
  <si>
    <t>SCABURRI SOC.AGR.FORESTALE SRL</t>
  </si>
  <si>
    <t>ARRAS MARIO</t>
  </si>
  <si>
    <t>GNASSI VINICIO</t>
  </si>
  <si>
    <t>CONTI CLAUDIO</t>
  </si>
  <si>
    <t>SOCIETA' AGRICOLA - PISELLI PIETRO E C. SOC. SEMPLICE</t>
  </si>
  <si>
    <t>POLINI LUIGI</t>
  </si>
  <si>
    <t>CESARONI DANIELA</t>
  </si>
  <si>
    <t>MAROZZI SILVIO</t>
  </si>
  <si>
    <t>PAGANELLI ANTONIO</t>
  </si>
  <si>
    <t>VISSANI MIRKO</t>
  </si>
  <si>
    <t>OTTAVIANI LEONE FRANCO</t>
  </si>
  <si>
    <t>MANCINI NADIA</t>
  </si>
  <si>
    <t>BICCARI FABRIZIO</t>
  </si>
  <si>
    <t>FOCANTI DINO</t>
  </si>
  <si>
    <t>SOC. AGRICOLA SCLAVI M.F.G. S.S.</t>
  </si>
  <si>
    <t>JANNI ETTORE</t>
  </si>
  <si>
    <t>CINGOLANI ANDREA</t>
  </si>
  <si>
    <t>CORSI GABRIELE</t>
  </si>
  <si>
    <t>LAZZARI ELIA</t>
  </si>
  <si>
    <t>SBROLLINI LIDIA GABRIELLA</t>
  </si>
  <si>
    <t>FORTI SIMONE</t>
  </si>
  <si>
    <t>MAISANO PAOLO</t>
  </si>
  <si>
    <t>SAVINI GIORGIO</t>
  </si>
  <si>
    <t>DELLACASA GIOVANNI</t>
  </si>
  <si>
    <t>I.R.S. L'AURORA SOCIETA' COOPERATIVA SOCIALE</t>
  </si>
  <si>
    <t>LAI MASSIMILIANO</t>
  </si>
  <si>
    <t>SARTORELLI EZIO</t>
  </si>
  <si>
    <t>MANNOCCHI ANNIBALE</t>
  </si>
  <si>
    <t>SALADINI PILASTRI SALADINO</t>
  </si>
  <si>
    <t>GIORGI STEFANO</t>
  </si>
  <si>
    <t>SERVILI ANDREA</t>
  </si>
  <si>
    <t>CALIENDI FRANCESCO</t>
  </si>
  <si>
    <t>COMPAGNONI GIANLUIGI</t>
  </si>
  <si>
    <t>BACCHIOCCHI ISABELLA</t>
  </si>
  <si>
    <t>ZAMPARINI SILVANA RITA</t>
  </si>
  <si>
    <t>GABRIELLONI CESARINA</t>
  </si>
  <si>
    <t>AGOSTINI GIOVANNI</t>
  </si>
  <si>
    <t>SEPI EMANUELE</t>
  </si>
  <si>
    <t>CAUCCI CARLO</t>
  </si>
  <si>
    <t>BETTI ROSA &amp; BOLOGNINI MARIA SOCIETA' SEMPLICE</t>
  </si>
  <si>
    <t>PORCU GIOVANNI GIACOMO</t>
  </si>
  <si>
    <t>CHIAPPINI CARLOS PATRICIO</t>
  </si>
  <si>
    <t>PEROZZI MARILENA</t>
  </si>
  <si>
    <t>EVANGELISTI GIUSEPPINA</t>
  </si>
  <si>
    <t>SIMONETTI ANYUTA</t>
  </si>
  <si>
    <t>BUSCA MICHELE</t>
  </si>
  <si>
    <t>AZ.AGR.PENNESI MARIANO E C. S.S.</t>
  </si>
  <si>
    <t>MARTINELLI ALESSANDRO</t>
  </si>
  <si>
    <t>BELARDINI MILIANO E FRANCESCO SOC.SEMP.</t>
  </si>
  <si>
    <t>MARINI FRANCESCA</t>
  </si>
  <si>
    <t>MAZZIERI PATRIZIA</t>
  </si>
  <si>
    <t>MENGHI GIOVANNA-MARIA</t>
  </si>
  <si>
    <t>BOINEGA SERGIO</t>
  </si>
  <si>
    <t>GRISOSTOMI ENIO E BRUNI DANIELA SOC.SEMPL.</t>
  </si>
  <si>
    <t>SOC. AGR. BUROTTA DI LAINO DALL'ACQUA FRANCESCO &amp; C. S.S.</t>
  </si>
  <si>
    <t>BABINA ANNA</t>
  </si>
  <si>
    <t>CALVANI LAURA</t>
  </si>
  <si>
    <t>SOCIETA' AGRICOLA VIA DEL CAMPO S.S.</t>
  </si>
  <si>
    <t>GIORGETTI SILVIA</t>
  </si>
  <si>
    <t>SUFFERINI MIRKO</t>
  </si>
  <si>
    <t>PASQUINI ANNUNZIATA</t>
  </si>
  <si>
    <t>BORA GIUSEPPE</t>
  </si>
  <si>
    <t>AZIENDA AGRICOLA BASOCU LUIGI &amp; MICHELE SOCIETA' SEMPLICE</t>
  </si>
  <si>
    <t>BERRIA GIUSEPPE</t>
  </si>
  <si>
    <t>MATTEI MAURO</t>
  </si>
  <si>
    <t>SALVUCCI FIORELLA MARIA</t>
  </si>
  <si>
    <t>MARSILI STEFANO</t>
  </si>
  <si>
    <t>PROPERZI LAURA</t>
  </si>
  <si>
    <t>TIBERI TOMMASO</t>
  </si>
  <si>
    <t>VERDICCHIO DAVID</t>
  </si>
  <si>
    <t>SOC. AGR. FATTORIA DELLA BONTA' - L'OASI DI PIERINO S.S.</t>
  </si>
  <si>
    <t>BATASSA AGOSTINO</t>
  </si>
  <si>
    <t>CERBONI SERGIO</t>
  </si>
  <si>
    <t>PASSATEMPO GIOVANNA</t>
  </si>
  <si>
    <t>AZ. AGRICOLA MERCATILI E VALLORANI</t>
  </si>
  <si>
    <t>GMG AGROFORESTALE SAS DI MARINOZZI GINO &amp; C.</t>
  </si>
  <si>
    <t>CUCCULELLI DAVIDE</t>
  </si>
  <si>
    <t>CAA CIA - ANCONA - 001</t>
  </si>
  <si>
    <t>BENADDUCI CECILIA E TAGLIARINI RODOLFO SOCIETA' SEMPLICE AGRICOLA</t>
  </si>
  <si>
    <t>VAGNONI LUIGI</t>
  </si>
  <si>
    <t>AVALTRONI MARCO E CLAUDIO SOC. SEMPLICE</t>
  </si>
  <si>
    <t>MARCHETTI ALESSIO</t>
  </si>
  <si>
    <t>GHILARDI TANIA</t>
  </si>
  <si>
    <t>BRANDI GIAMMARIO</t>
  </si>
  <si>
    <t>MAROTTA MARGHERITA</t>
  </si>
  <si>
    <t>VOLPI TOMMASO</t>
  </si>
  <si>
    <t>VILLA SAN PELLEGRINO S.A.S. DI BIASON CARMEN &amp; C.</t>
  </si>
  <si>
    <t>FUSARI LUCA</t>
  </si>
  <si>
    <t>MAURI FLAVIO</t>
  </si>
  <si>
    <t>ARCONI EVELINO</t>
  </si>
  <si>
    <t>ARMANDI CLAUDIO</t>
  </si>
  <si>
    <t>TRANQUILLI GIANCARLO</t>
  </si>
  <si>
    <t>CARPINETI AUGUSTO</t>
  </si>
  <si>
    <t>ZAZZARINI ADRIANA</t>
  </si>
  <si>
    <t>FOSSI ELIO &amp; LIGI LUISA SOCIETA' SEMPLICE</t>
  </si>
  <si>
    <t>PIANELLA FABIO</t>
  </si>
  <si>
    <t>PAPETTI LORENZO</t>
  </si>
  <si>
    <t>BARTOLUCCI MARIA GIULIA</t>
  </si>
  <si>
    <t>FICERAI ELIGIO</t>
  </si>
  <si>
    <t>SOCIETA' AGRICOLA PINTUS MARIO &amp; FRANCESCO S.S.</t>
  </si>
  <si>
    <t>SERFILIPPI MAURIZIO</t>
  </si>
  <si>
    <t>NEPI ANDREA</t>
  </si>
  <si>
    <t>COLA GIANNI</t>
  </si>
  <si>
    <t>PECETTI ANGELO</t>
  </si>
  <si>
    <t>AUSTRALI SOCIETA' SEMPLICE AGRICOLA DI GAGLIARDINI STEFANO E BINI MARC</t>
  </si>
  <si>
    <t>AZIENDA AGRICOLA BARTOLACCI DI PIERINI MONICA E MATTEO SOCIETA' AGRICO</t>
  </si>
  <si>
    <t>VOLUNNI LUCIANO</t>
  </si>
  <si>
    <t>CAPRIOTTI ANGELO LUCIANO</t>
  </si>
  <si>
    <t>SEBASTIANI JOHNNY</t>
  </si>
  <si>
    <t>ROMITI LINDO</t>
  </si>
  <si>
    <t>GALANTI ANNA</t>
  </si>
  <si>
    <t>CASELLI MAURIZIO</t>
  </si>
  <si>
    <t>MERLETTI VINCENZO</t>
  </si>
  <si>
    <t>PELLEGRINO NICOLA MARIA ROMANO</t>
  </si>
  <si>
    <t>LEONARDI GIAMPIERO</t>
  </si>
  <si>
    <t>PEROZZI CAMILLO</t>
  </si>
  <si>
    <t>SILVESTRI TOMMASO</t>
  </si>
  <si>
    <t>NUCCI ERMANNO</t>
  </si>
  <si>
    <t>ANTICA AZIENDA AGRICOLA F.LLI VAGNONI - MOLINA SRL SOCIETA' AGRICOLA I</t>
  </si>
  <si>
    <t>CASTELBARCO ALBANI VISCONTI SIMONETTA CLEMENTE</t>
  </si>
  <si>
    <t>CECCHINI DANIELE</t>
  </si>
  <si>
    <t>PISCIOLINI LUCA</t>
  </si>
  <si>
    <t>SOCIETA' AGRICOLA LICIA S.S.</t>
  </si>
  <si>
    <t>DADI LORIETTA</t>
  </si>
  <si>
    <t>FIORELLI STEFANO</t>
  </si>
  <si>
    <t>TACCONI QUINTO</t>
  </si>
  <si>
    <t>ROZZI RITA</t>
  </si>
  <si>
    <t>BRACONI GIULIANO</t>
  </si>
  <si>
    <t>CAMELI FIORELLA</t>
  </si>
  <si>
    <t>GASPARINI ANTONIO</t>
  </si>
  <si>
    <t>BARUFFI IVANA</t>
  </si>
  <si>
    <t>GIRONI FRANCESCA</t>
  </si>
  <si>
    <t>CANNELLA MARINA</t>
  </si>
  <si>
    <t>CIARAMICOLI PAOLO</t>
  </si>
  <si>
    <t>SOCIETA' AGRICOLA LONGHI CLAUDIO E GIOVANNI S.S.</t>
  </si>
  <si>
    <t>CANALI MARIA</t>
  </si>
  <si>
    <t>AMABILI FRANCO</t>
  </si>
  <si>
    <t>SORU SALVATORE</t>
  </si>
  <si>
    <t>ARCANGELETTI GIULIO</t>
  </si>
  <si>
    <t>ALLEVI MARIA LETIZIA</t>
  </si>
  <si>
    <t>DI GIROLAMI MARIANO</t>
  </si>
  <si>
    <t>CIPRIANI LUANA</t>
  </si>
  <si>
    <t>ROMALDINI MAURO</t>
  </si>
  <si>
    <t>TOMASSINI SARA</t>
  </si>
  <si>
    <t>PAOLETTI GIOVANNA</t>
  </si>
  <si>
    <t>GRASSELLI SIMONE</t>
  </si>
  <si>
    <t>ZHOLDASPAYEVA RAIKHAN</t>
  </si>
  <si>
    <t>GIACOMONI MARZIANA</t>
  </si>
  <si>
    <t>MERCURI MICHELE</t>
  </si>
  <si>
    <t>SOTGIA PIETRO GIORGIO GIUSEPPE</t>
  </si>
  <si>
    <t>FRATELLI FILIPPONI E BASTARI SOC.SEMPLICE AGRICOLA</t>
  </si>
  <si>
    <t>CARDUCCI NOVELLO E FUNARI GINA SOC.SEMPLICE</t>
  </si>
  <si>
    <t>FERRI ALESSANDRO E DAMIANI ANNA SOCIETA' SEMPLICE</t>
  </si>
  <si>
    <t>PAZZAGLINI PIETRO</t>
  </si>
  <si>
    <t>CALANDRINI LAURA</t>
  </si>
  <si>
    <t>CLINI ALVINO</t>
  </si>
  <si>
    <t>MARIANI ARMANDO</t>
  </si>
  <si>
    <t>BONIFAZI DONATO</t>
  </si>
  <si>
    <t>BONFADA STEFANO</t>
  </si>
  <si>
    <t>MENTILI TIZIANO</t>
  </si>
  <si>
    <t>FONDAZIONE "C.GREGORINI" CASA DI RIPOSO</t>
  </si>
  <si>
    <t>ANGELETTI GIOVANNI</t>
  </si>
  <si>
    <t>AZIENDA AGRICOLA LA CISTERNA DI VISSANI ENRICO &amp; STEFANO SOCIETA' SEMP</t>
  </si>
  <si>
    <t>VAGNARELLI ANNA MARIA</t>
  </si>
  <si>
    <t>TENUTA AGRICOLA LA RISERVA DI MATTIOLI DINA &amp; C. SAS - SOCIETA' AGRICO</t>
  </si>
  <si>
    <t>FIASTRELLI EZIO</t>
  </si>
  <si>
    <t>MAURI GINO</t>
  </si>
  <si>
    <t>COLONNELLA OLIVA</t>
  </si>
  <si>
    <t>FUCILI ANTONIO</t>
  </si>
  <si>
    <t>LUZI GIUSEPPE</t>
  </si>
  <si>
    <t>PIERAGOSTINI MARIO</t>
  </si>
  <si>
    <t>S.C.A.C.SOCIETA' COOPERATIVA AGRICOLA</t>
  </si>
  <si>
    <t>AZIENDA AGRICOLA AMICI S.R.L. UNIPERSONALE</t>
  </si>
  <si>
    <t>FIORANI LUIGI</t>
  </si>
  <si>
    <t>SEPI MICHELE</t>
  </si>
  <si>
    <t>SALUCCI VALERIO</t>
  </si>
  <si>
    <t>BENADDUCI BENIGNI OLIVIERI RAI FRANCESCA</t>
  </si>
  <si>
    <t>SPERANDIO PIERO</t>
  </si>
  <si>
    <t>BERLONI GIULIANO</t>
  </si>
  <si>
    <t>CAPONI FRANCO</t>
  </si>
  <si>
    <t>PIERSIMONI RENELLA</t>
  </si>
  <si>
    <t>PEDINI ROBERTO</t>
  </si>
  <si>
    <t>CURI MAURIZIO</t>
  </si>
  <si>
    <t>GIONNI GINA</t>
  </si>
  <si>
    <t>ORLANDI VERO</t>
  </si>
  <si>
    <t>VIGNONI ROBERTA</t>
  </si>
  <si>
    <t>TROMBONI SAURO</t>
  </si>
  <si>
    <t>PARLANI ALBERTO</t>
  </si>
  <si>
    <t>GUARNA SERENELLA</t>
  </si>
  <si>
    <t>MAGGI LUIGI</t>
  </si>
  <si>
    <t>FORTI STEFANO</t>
  </si>
  <si>
    <t>TORDINI EURO</t>
  </si>
  <si>
    <t>RENZINI FRANCESCO</t>
  </si>
  <si>
    <t>MARCELLI CLARA</t>
  </si>
  <si>
    <t>SALTARELLI ROBERTO</t>
  </si>
  <si>
    <t>BARABUCCI ALESSANDRA</t>
  </si>
  <si>
    <t>DILETTI ROBERTO</t>
  </si>
  <si>
    <t>MALERBA MARIA</t>
  </si>
  <si>
    <t>ANSOVINI LUCA</t>
  </si>
  <si>
    <t>COLOCCINI ANTONIO</t>
  </si>
  <si>
    <t>COLIZZI PIER FRANCESCO</t>
  </si>
  <si>
    <t>BOCCHETTI ENRICO &amp; SANDRO SOC SEMPLICE</t>
  </si>
  <si>
    <t>AURELI MACCARIO</t>
  </si>
  <si>
    <t>GUIDOTTI PINO</t>
  </si>
  <si>
    <t>OTTAVI LUIGI</t>
  </si>
  <si>
    <t>FEDERICI LAURA</t>
  </si>
  <si>
    <t>CURTI RICCARDO</t>
  </si>
  <si>
    <t>CARDELLINI GIORGIO</t>
  </si>
  <si>
    <t>CISCATO MASSIMO ENNIO</t>
  </si>
  <si>
    <t>OTTAVIANI TERESA</t>
  </si>
  <si>
    <t>SOCIETA' AGRICOLA-FORESTALE MITA S.A.S DI LUDMILA MITA &amp; C.</t>
  </si>
  <si>
    <t>GIOVANNELLI FRANCESCO</t>
  </si>
  <si>
    <t>BONAVENTURA RACHELE</t>
  </si>
  <si>
    <t>ARRAGONI VINCENZO</t>
  </si>
  <si>
    <t>MICHETTI MARCELLO</t>
  </si>
  <si>
    <t>ORAZI NICOLA</t>
  </si>
  <si>
    <t>SCOLASTICI ROBERTO</t>
  </si>
  <si>
    <t>PANTALEONI GIULIANA</t>
  </si>
  <si>
    <t>LE CANIETTE DI VAGNONI GIOVANNI E LUIGINO SOCIETA' AGRICOLA SEMPLICE</t>
  </si>
  <si>
    <t>CONTI FABIO SOCIETA' AGRICOLA S.S.</t>
  </si>
  <si>
    <t>FERRARI CRISTIANA PATRIZIA</t>
  </si>
  <si>
    <t>FUNARI FRANCO</t>
  </si>
  <si>
    <t>RICCA ARMANDO</t>
  </si>
  <si>
    <t>VITA SIMONE</t>
  </si>
  <si>
    <t>PENSERINI JOLANDA</t>
  </si>
  <si>
    <t>ROSSI ROMINA</t>
  </si>
  <si>
    <t>ANGELICI TERZO</t>
  </si>
  <si>
    <t>MARCHETTI LUIGINA</t>
  </si>
  <si>
    <t>MAZZANTI GIOVANNI</t>
  </si>
  <si>
    <t>BELBUSTI LAURA</t>
  </si>
  <si>
    <t>APOLLONI EDOARDO</t>
  </si>
  <si>
    <t>SOCIETA' AGRICOLA BARTOLUCCI S.S.</t>
  </si>
  <si>
    <t>GUGLIELMI AMELIA</t>
  </si>
  <si>
    <t>PEDICA MARIA TERESA</t>
  </si>
  <si>
    <t>GIANNOTTI ORFEO</t>
  </si>
  <si>
    <t>TEMPESTILLI ROBERTO</t>
  </si>
  <si>
    <t>FIORINI ALBINA</t>
  </si>
  <si>
    <t>GIANNOLA VITTORIA</t>
  </si>
  <si>
    <t>SOCIETA' AGRICOLA IL TESORO DEI SIBILLINI DI TIDEI MAURO E MARICA S.S.</t>
  </si>
  <si>
    <t>MAGGI FEDERICA</t>
  </si>
  <si>
    <t>APPIGNANESI JURI</t>
  </si>
  <si>
    <t>MARONI CLEMENTINA</t>
  </si>
  <si>
    <t>BARTOLUCCI ERCOLE</t>
  </si>
  <si>
    <t>LANA DAVID</t>
  </si>
  <si>
    <t>ROSELLI RAFFAELE</t>
  </si>
  <si>
    <t>RICCIONI GIOVANNI</t>
  </si>
  <si>
    <t>SOCIETA' AGRICOLA COLLEDIVINO S.S.</t>
  </si>
  <si>
    <t>FILIPPUCCI MICHELE ARCANGELO</t>
  </si>
  <si>
    <t>CARBONI DONNINO</t>
  </si>
  <si>
    <t>COLONNA MARIO</t>
  </si>
  <si>
    <t>AZIENDA AGRICOLA F.LLI FORMICA</t>
  </si>
  <si>
    <t>SOCIETA' AGRICOLA LA COCCINELLA DI MICOZZI FEDERICA &amp; C. S.S</t>
  </si>
  <si>
    <t>LUCIANI GABRIELE E RUGGERI GRAZIELLA SOC. SEMPLICE</t>
  </si>
  <si>
    <t>VENANZONI GUIDO</t>
  </si>
  <si>
    <t>BEDETTA ALESSANDRO</t>
  </si>
  <si>
    <t>SOCIETA' AGRICOLA "VECCHIO MORO ...SUL LAGO" S.S.</t>
  </si>
  <si>
    <t>RENGA RICCARDO</t>
  </si>
  <si>
    <t>PAZZAGLIA GIUSEPPE</t>
  </si>
  <si>
    <t>TORRIANI LIVIO</t>
  </si>
  <si>
    <t>GIULIANI MIRKO</t>
  </si>
  <si>
    <t>FLORES CASTILLO ANA</t>
  </si>
  <si>
    <t>APPIGNANESI LEONIDA</t>
  </si>
  <si>
    <t>CAROBINI SOCIETA' AGRICOLA S.S.</t>
  </si>
  <si>
    <t>MMP SOCIETA' AGRICOLA A R. L.</t>
  </si>
  <si>
    <t>AZ. AGR. BASSI MARISA E CAROLINA</t>
  </si>
  <si>
    <t>STARRABBA ALESSANDRO</t>
  </si>
  <si>
    <t>CAMACCI MASSIMILIANO</t>
  </si>
  <si>
    <t>CATENA GRAZIANO</t>
  </si>
  <si>
    <t>UNCINI GIANLUIGI</t>
  </si>
  <si>
    <t>SCAGNETTI FRANCESCO</t>
  </si>
  <si>
    <t>BATTISTI GIUSEPPINA</t>
  </si>
  <si>
    <t>VALENTINI ALESSANDRO</t>
  </si>
  <si>
    <t>FARNETI LUIGI</t>
  </si>
  <si>
    <t>CORVATTA BEATRICE</t>
  </si>
  <si>
    <t>IL MASTINO SS</t>
  </si>
  <si>
    <t>COCCI ANTONIO</t>
  </si>
  <si>
    <t>ALBERTO QUACQUARINI - SOCIETA' AGRICOLA SEMPLICE</t>
  </si>
  <si>
    <t>SOCIETA' AGRICOLA IL RITORNO DI CLEMENTI MIRCO E FEDERICO S.S.</t>
  </si>
  <si>
    <t>FATTORIA BRIGNONI SOCIETA' AGRICOLA DI BRIGNONI ALICE &amp; C. S.A.S.</t>
  </si>
  <si>
    <t>CONTI VINCENZO</t>
  </si>
  <si>
    <t>AZ. AGR. CIANDRINI BENITO &amp; C. SOCIETA' SEMPLICE</t>
  </si>
  <si>
    <t>AZ. AGR. SIMONCINI DI SIMONCINI PIERPAOLO E GIUNGI MANUELA S</t>
  </si>
  <si>
    <t>VAGNARELLI TOMMASO</t>
  </si>
  <si>
    <t>MISICI FAUSTO</t>
  </si>
  <si>
    <t>CORRADINI LUIGI</t>
  </si>
  <si>
    <t>LENCI ELIO</t>
  </si>
  <si>
    <t>STROPPA RENZO</t>
  </si>
  <si>
    <t>GALLI STEFANO</t>
  </si>
  <si>
    <t>LARGHETTI GIOVANNI</t>
  </si>
  <si>
    <t>SOCIETA' AGRICOLA CA' MIGNONE SRL</t>
  </si>
  <si>
    <t>AZIENDA AGRICOLA ROVEGLIANO SOCIETA' SEMPLICE AGRICOLA DI MARASCA LUCA</t>
  </si>
  <si>
    <t>TURCHI MARIA</t>
  </si>
  <si>
    <t>IL SALICE FIORITO DI PAOLA E FRANCESCO SOCIETA' AGRICOLA S. S.</t>
  </si>
  <si>
    <t>PHARMAFIT AGT SRL SOCIETA' AGRICOLA</t>
  </si>
  <si>
    <t>MAZZARELLI LUCIANO</t>
  </si>
  <si>
    <t>VOLPI ROSELLA</t>
  </si>
  <si>
    <t>SILVESTRI MARIA</t>
  </si>
  <si>
    <t>GATTI LARA</t>
  </si>
  <si>
    <t>GRASSI NIVES</t>
  </si>
  <si>
    <t>SOCIETA' AGRICOLA VILLANOVA S.S.</t>
  </si>
  <si>
    <t>CIARONI MASSIMO</t>
  </si>
  <si>
    <t>CARTECHINI SANDRO</t>
  </si>
  <si>
    <t>SOCIETA' AGRICOLA ALLEGRETTI S.S.</t>
  </si>
  <si>
    <t>COLOCCINI PINA</t>
  </si>
  <si>
    <t>ANZINI RUBEN</t>
  </si>
  <si>
    <t>L.N. SOCIETA' AGRICOLA S.R.L.</t>
  </si>
  <si>
    <t>MISICI ALESSANDRO</t>
  </si>
  <si>
    <t>DONNINI GIOVANNI</t>
  </si>
  <si>
    <t>AZIENDA AGRICOLA ROSSI MAURIZIO E SPADINI DANIELA</t>
  </si>
  <si>
    <t>FATTORIA CORRADINI SRL - SOCIETA' AGRICOLA</t>
  </si>
  <si>
    <t>ROMITI RENATO</t>
  </si>
  <si>
    <t>SOCIETA' AGRICOLA LO SCOIATTOLO - S.R.L.</t>
  </si>
  <si>
    <t>GAGGINI ANNA MARIA</t>
  </si>
  <si>
    <t>BORRONI GIORGIO</t>
  </si>
  <si>
    <t>ABBONDANZIERI MARIA-LETIZIA</t>
  </si>
  <si>
    <t>AZIENDA AGRICOLA DUCHI PAOLO E ALVINO SOCIETA' AGRICOLA</t>
  </si>
  <si>
    <t>GASPARONI SERENA</t>
  </si>
  <si>
    <t>ABDERHALDEN URS</t>
  </si>
  <si>
    <t>GENTILI SANTA</t>
  </si>
  <si>
    <t>TOMASSONI OTTAVIO</t>
  </si>
  <si>
    <t>AZ. AGRICOLA CONTI &amp; MONTESI S.S.</t>
  </si>
  <si>
    <t>DI MASCIO VINCENZA</t>
  </si>
  <si>
    <t>AMADORI ANNA MARIA</t>
  </si>
  <si>
    <t>SOCIETA' AGRICOLA GENTILESCHI ANDREA E CONTIGIANI CINZIA S.S.</t>
  </si>
  <si>
    <t>RICCI DAVID</t>
  </si>
  <si>
    <t>SOCIETA' AGRICOLA LA FENICE S.R.L.</t>
  </si>
  <si>
    <t>SOCIETA'AGRICOLA SUN DI MARCHETTI SHARON LESLIE &amp; C. SAS</t>
  </si>
  <si>
    <t>MOCHI MAURO</t>
  </si>
  <si>
    <t>FRATTARI SABRINA</t>
  </si>
  <si>
    <t>UGOLINI FERRUCCIO</t>
  </si>
  <si>
    <t>BALDELLI OSVALDO</t>
  </si>
  <si>
    <t>CERERE S.R.L.</t>
  </si>
  <si>
    <t>SIMONCINI MARISA</t>
  </si>
  <si>
    <t>GELMI MARA</t>
  </si>
  <si>
    <t>PIERGENTILI STEFANO</t>
  </si>
  <si>
    <t>MANOCCHI DANIELE</t>
  </si>
  <si>
    <t>OTTAVIANI MIRCO</t>
  </si>
  <si>
    <t>BUNDONE PASQUALE</t>
  </si>
  <si>
    <t>CARDELLINI ROBERTO</t>
  </si>
  <si>
    <t>GIACINTI GIULIANA</t>
  </si>
  <si>
    <t>SOCIETA' AGRICOLA CANCELLIERI LUIGI &amp; MARINO S.S.</t>
  </si>
  <si>
    <t>ANDREOLI MASSIMILIANO</t>
  </si>
  <si>
    <t>SCHWAGER HERBERT MATTHIAS</t>
  </si>
  <si>
    <t>BONCI SERENELLA</t>
  </si>
  <si>
    <t>SMARGIASSI SERGIO</t>
  </si>
  <si>
    <t>VALLORANI ROCCO</t>
  </si>
  <si>
    <t>GRILLI ALESSIA</t>
  </si>
  <si>
    <t>TRE SOLI SOCIETA' AGRICOLA SRL</t>
  </si>
  <si>
    <t>CERVIGNI DIONISIO</t>
  </si>
  <si>
    <t>UNIVERSITA' DEGLI STUDI DI URBINO CARLO BO</t>
  </si>
  <si>
    <t>MORETTI STEFANIA</t>
  </si>
  <si>
    <t>MEROLLI ALESSIA</t>
  </si>
  <si>
    <t>CASAGRANDE-CONTI SONIA</t>
  </si>
  <si>
    <t>MONALDI SAURO</t>
  </si>
  <si>
    <t>GRASSI SILVANA</t>
  </si>
  <si>
    <t>BARILOTTI PIETRO</t>
  </si>
  <si>
    <t>GUERRO LOREDANA</t>
  </si>
  <si>
    <t>DI COSIMO ANDREA</t>
  </si>
  <si>
    <t>AZIENDA AGRARIA FLAMINIA</t>
  </si>
  <si>
    <t>WALTHER-STIEGER TATJANA</t>
  </si>
  <si>
    <t>SOCIETA' AGRICOLA ANGELI SOCIETA' SEMPLICE</t>
  </si>
  <si>
    <t>TEODORI DANIELE</t>
  </si>
  <si>
    <t>ACCIARRI SOCIETA' AGRICOLA S.R.L.</t>
  </si>
  <si>
    <t>CARLINI PIO</t>
  </si>
  <si>
    <t>SANTARELLI GIANCARLO E ARRIVA MARIA TERESA SOCIETA' SEMPLICE AGRICOLA</t>
  </si>
  <si>
    <t>BONIFAZI ADRIANO</t>
  </si>
  <si>
    <t>MARCHESE MARINO</t>
  </si>
  <si>
    <t>SOCIETA' AGRICOLA LA MORLA DI TALOCCHI SIMONETTA &amp; C. S.A.S.</t>
  </si>
  <si>
    <t>SOCIETA' COOPERATIVA AGRICOLA AGRITEMP</t>
  </si>
  <si>
    <t>TOMBINI GIOVANNI BATTISTA</t>
  </si>
  <si>
    <t>GENTILINI SOCIETA AGRICOLADI GENTILINI CESARINO DANIELA E LUCIA S.S.</t>
  </si>
  <si>
    <t>CANCELLIERI ANDREA</t>
  </si>
  <si>
    <t>RUGOLETTI CARLA</t>
  </si>
  <si>
    <t>MATTIOLI DORIANA</t>
  </si>
  <si>
    <t>LAURENZI TOMMASO</t>
  </si>
  <si>
    <t>GEMINIANI PIO</t>
  </si>
  <si>
    <t>PELLICCIA GIUSEPPE</t>
  </si>
  <si>
    <t>DUCHI GIANCARLO</t>
  </si>
  <si>
    <t>DONNINI SANDRA</t>
  </si>
  <si>
    <t>SAN ROMUALDO COOPERATIVA AGRICOLA A RESPONSABILITA' LIMITATA</t>
  </si>
  <si>
    <t>PERUGINI EGIDIO</t>
  </si>
  <si>
    <t>ROCCI DUILIA</t>
  </si>
  <si>
    <t>NUCCI PAOLA LUCIANA</t>
  </si>
  <si>
    <t>ZACCAGNINI ROSELLA</t>
  </si>
  <si>
    <t>RINOMATA AZIENDA BIOLOGICA IMPRENDITORI LIBERTI SIMONE E GIANPIETRO SO</t>
  </si>
  <si>
    <t>MISICI FRANCO</t>
  </si>
  <si>
    <t>MARONI FAUSTO</t>
  </si>
  <si>
    <t>FLAMMA LAURETTA</t>
  </si>
  <si>
    <t>ANGELI GIOVANNI</t>
  </si>
  <si>
    <t>CANNAS SALVATORE</t>
  </si>
  <si>
    <t>SBAFFI FRANCESCO</t>
  </si>
  <si>
    <t>ANTOLINI PAOLO</t>
  </si>
  <si>
    <t>IL GIARDINO S.S. - SOCIETA' AGRICOLA</t>
  </si>
  <si>
    <t>REVERSI LUIGI</t>
  </si>
  <si>
    <t>CARBONI SAMANTA</t>
  </si>
  <si>
    <t>BARTOCCETTI FLAVIO</t>
  </si>
  <si>
    <t>DOMINICI ROBERTINO</t>
  </si>
  <si>
    <t>SOCIETA' AGRICOLA IL CANNETO S.S.</t>
  </si>
  <si>
    <t>SOCIETA' AGRICOLA LA CARDA SRL</t>
  </si>
  <si>
    <t>BOTTICELLI EMILIO</t>
  </si>
  <si>
    <t>BETTI SERENA</t>
  </si>
  <si>
    <t>SCHIAVI LORENZO</t>
  </si>
  <si>
    <t>MONTEBELLO COOPERATIVA AGROBIOLOGICA</t>
  </si>
  <si>
    <t>MARAVIGLIA ALBERTO</t>
  </si>
  <si>
    <t>GUERRA MARCO</t>
  </si>
  <si>
    <t>SOCIETA' AGRICOLA 'SANA FRUX' DI ANTOGNOZZI S.S.</t>
  </si>
  <si>
    <t>LANCIOTTI AGOSTINO</t>
  </si>
  <si>
    <t>MARI BRUNA</t>
  </si>
  <si>
    <t>FADDA STEFANO</t>
  </si>
  <si>
    <t>LIGI NATALE</t>
  </si>
  <si>
    <t>MOLTEDO ANNA MADDALENA</t>
  </si>
  <si>
    <t>FATTORI PIERFRANCESCO</t>
  </si>
  <si>
    <t>TITTONI GIOVANNI</t>
  </si>
  <si>
    <t>CAVALLERI ALBERTO</t>
  </si>
  <si>
    <t>MICHELI ROSELLA</t>
  </si>
  <si>
    <t>BUSSAGLIA GIADA</t>
  </si>
  <si>
    <t>PERSICI FRANCESCO</t>
  </si>
  <si>
    <t>VANNUCCI AUGUSTO</t>
  </si>
  <si>
    <t>ORAZIETTI GIACOMO</t>
  </si>
  <si>
    <t>AZIENDA AGRICOLA FRATELLI BUCCI S.S. SOCIETA' AGRICOLA</t>
  </si>
  <si>
    <t>LA FATTORIA DEI CANTORI SOCIETA' AGRICOLA S.S.</t>
  </si>
  <si>
    <t>FABBRIZI PAOLO</t>
  </si>
  <si>
    <t>QUINTILI ROSITA</t>
  </si>
  <si>
    <t>RUGGERI MIKI</t>
  </si>
  <si>
    <t>BALDELLI ANDREA</t>
  </si>
  <si>
    <t>MADRESELVI SERGIO</t>
  </si>
  <si>
    <t>AZIENDA AGRICOLA MANOCCHI MARCO E MARCELLO SOCIETA' SEMPLICE AGRICOLA</t>
  </si>
  <si>
    <t>CALISTI GIAN CARLO</t>
  </si>
  <si>
    <t>CAVERNI GIANNETTO</t>
  </si>
  <si>
    <t>FEDUZI GIANCARLO</t>
  </si>
  <si>
    <t>CRESCENTINI RICCARDO</t>
  </si>
  <si>
    <t>PAOLI LUCA</t>
  </si>
  <si>
    <t>FABBRICA DELLA BIRRA TENUTE COLLESI S.R.L.</t>
  </si>
  <si>
    <t>NICOLINI PATRIZIA</t>
  </si>
  <si>
    <t>COPPA MARIA</t>
  </si>
  <si>
    <t>CLEMENTI GABRIELE</t>
  </si>
  <si>
    <t>PELLEI DOMENICO</t>
  </si>
  <si>
    <t>LA LEPRE - SOC. AGRICOLA DI SALVI DIEGO E ALFIO</t>
  </si>
  <si>
    <t>SOCIETA' AGRICOLA TELLUS SOCIETA' SEMPLICE</t>
  </si>
  <si>
    <t>VALENTINI LUCIANO</t>
  </si>
  <si>
    <t>FABI MARCO</t>
  </si>
  <si>
    <t>SOCIETA' AGRICOLA TIBERI SECONDO E GIANLUCA S.S.</t>
  </si>
  <si>
    <t>FERRETTI ADRIANA</t>
  </si>
  <si>
    <t>COSMI MARIO E MASSARI MARIA GRAZIA SOCIETA' SEMPLICE</t>
  </si>
  <si>
    <t>MAZZONI GIANNI</t>
  </si>
  <si>
    <t>PODERE SANTA LUCIA DI STEFANO BALDUCCI E C. SAS SOCIETA' AGRICOLA</t>
  </si>
  <si>
    <t>NORGHIO SOCIETA AGRICOLA SEMPLICE</t>
  </si>
  <si>
    <t>LE FONTI DEL GIANO SOC. COOP.</t>
  </si>
  <si>
    <t>PIGNATARO ROBERTO</t>
  </si>
  <si>
    <t>SOCIETA' AGRICOLA IL PODERE DELLA LUPA DI BARTOLINI PAOLA &amp; C. S.S.</t>
  </si>
  <si>
    <t>DOMIZIOLI BARBARA</t>
  </si>
  <si>
    <t>FICCADENTI LUIGINA</t>
  </si>
  <si>
    <t>AZ. AGRICOLA IL CASTELLANO DI D'ANGELO RITA E CIARROCCHI FER</t>
  </si>
  <si>
    <t>FEDELI CHIARINA</t>
  </si>
  <si>
    <t>SERAFINI ANDREA</t>
  </si>
  <si>
    <t>BROCCOLI TIZIANA</t>
  </si>
  <si>
    <t>SMARGIASSI LUCIANO</t>
  </si>
  <si>
    <t>AMICI GIUSEPPE</t>
  </si>
  <si>
    <t>PECORELLI AMLETO</t>
  </si>
  <si>
    <t>PIPPONZI RANIERO</t>
  </si>
  <si>
    <t>SONAGLIONI SIMONE</t>
  </si>
  <si>
    <t>MASSIMI ADRIANA</t>
  </si>
  <si>
    <t>ELISABETTINI ALEX</t>
  </si>
  <si>
    <t>NICOLELLI DANILO</t>
  </si>
  <si>
    <t>AZ AGRICOLA SALLADINI DOMENICO E SCIARRONI ANNA MARIA</t>
  </si>
  <si>
    <t>VERZOLINI MARCO</t>
  </si>
  <si>
    <t>CAA Copagri - MACERATA - 401</t>
  </si>
  <si>
    <t>DE LUCA ANDREA</t>
  </si>
  <si>
    <t>CAPRIOTTI CLAUDIO</t>
  </si>
  <si>
    <t>PASQUALI PIETRO</t>
  </si>
  <si>
    <t>LOSCALZO SIMONA</t>
  </si>
  <si>
    <t>LOIA NATALE</t>
  </si>
  <si>
    <t>ALESSANDRINI LOREDANA</t>
  </si>
  <si>
    <t>CARLINI OTELLO</t>
  </si>
  <si>
    <t>CAPRIOTTI GIOVANNA</t>
  </si>
  <si>
    <t>DUCHI ENRICO</t>
  </si>
  <si>
    <t>MONTESI MAURIZIO</t>
  </si>
  <si>
    <t>SOCIETA' AGRICOLA LO ZAFFERANO DI ORSINI GIAN MARCO E MARA S.S.</t>
  </si>
  <si>
    <t>CINGOLANI GIUSEPPINA</t>
  </si>
  <si>
    <t>SOCIETA' AGRICOLA AGRICULTURA DI CRISPINI MATTEO E PELATI ETTORE SOCIE</t>
  </si>
  <si>
    <t>DESIDERI SAMUELE</t>
  </si>
  <si>
    <t>MAGRINI MARIANO</t>
  </si>
  <si>
    <t>POMPILI EMANUELA</t>
  </si>
  <si>
    <t>AGRICOLA PATRIGNONI DI PATRIGNONI A. &amp; C. S.A.S.</t>
  </si>
  <si>
    <t>PACETTI GIUSEPPE</t>
  </si>
  <si>
    <t>AZIENDA AGRICOLA VAGNONI ALBERTO E FILIPPO SOCIETA' SEMPLICE AGRICOLA</t>
  </si>
  <si>
    <t>BENEDETTI CLAUDIO</t>
  </si>
  <si>
    <t>D'ANGELO GRAZIANO</t>
  </si>
  <si>
    <t>F/LLI BIANCHI DI BIANCHI PAOLO E GIACOMO</t>
  </si>
  <si>
    <t>VITTORI ENRICO</t>
  </si>
  <si>
    <t>MOCI ROMOLO</t>
  </si>
  <si>
    <t>DALLAGO DOMENICO</t>
  </si>
  <si>
    <t>SPENDOLINI FRANCESCA</t>
  </si>
  <si>
    <t>MAGNONI DOMENICO</t>
  </si>
  <si>
    <t>TORTOLINI NICCOLA</t>
  </si>
  <si>
    <t>RICCIONI NATALE</t>
  </si>
  <si>
    <t>CINGOLANI GIORGIO</t>
  </si>
  <si>
    <t>PEZZUOLI LUIGI</t>
  </si>
  <si>
    <t>BONDINI FELICE</t>
  </si>
  <si>
    <t>AMBROSIO ARCANGELO</t>
  </si>
  <si>
    <t>VISI GIULIO</t>
  </si>
  <si>
    <t>VICARI CARLO</t>
  </si>
  <si>
    <t>CICCHESE PAOLA</t>
  </si>
  <si>
    <t>BELLOMO LAURA</t>
  </si>
  <si>
    <t>MATTEI SIMONE</t>
  </si>
  <si>
    <t>SOCIETA' AGRICOLA DI PIETRANTONIO E C. S.S.</t>
  </si>
  <si>
    <t>FRANCESCHINI ANTONIO MARIA</t>
  </si>
  <si>
    <t>COOP. SOCIALE S. MICHELE ARCANGELO SOC. COOP. AGRICOLA ONLUS</t>
  </si>
  <si>
    <t>SPITONI ENRICO</t>
  </si>
  <si>
    <t>MORRESI FABIO</t>
  </si>
  <si>
    <t>UNIVERSITA' POLITECNICA DELLE MARCHE</t>
  </si>
  <si>
    <t>DOLCE FRANCO</t>
  </si>
  <si>
    <t>ILARI ANTINO</t>
  </si>
  <si>
    <t>SOCIETA' AGRICOLA GRAZIOSI CARLO E JACHINI MARZIALI CARLA SOC. SEMPLIC</t>
  </si>
  <si>
    <t>SCOTTI MADDALENA</t>
  </si>
  <si>
    <t>MONTANARI MARCO</t>
  </si>
  <si>
    <t>PAZZELLI GIAMMARIO</t>
  </si>
  <si>
    <t>SBAFFI SANDRO</t>
  </si>
  <si>
    <t>FICO MASSIMILIANO</t>
  </si>
  <si>
    <t>DI MULO ROBERTO FILIPPO</t>
  </si>
  <si>
    <t>SOC. AGRICOLA LA MARCA DI SAN MICHELE SRL</t>
  </si>
  <si>
    <t>FERRANTI MARIA</t>
  </si>
  <si>
    <t>FELIZIANI GRAZIANO</t>
  </si>
  <si>
    <t>SOCIETA' AGRICOLA EREDI PANDOLFI DOMENICO S.S.</t>
  </si>
  <si>
    <t>SOCIETA' AGRICOLA CIU' CIU' DI BARTOLOMEI MASSIMILIANO E BARTOLOMEI WA</t>
  </si>
  <si>
    <t>FALCIONI ANNA MARIA</t>
  </si>
  <si>
    <t>CESARONI CLAUDIO</t>
  </si>
  <si>
    <t>SOCIETA' AGRICOLA SAN MARTINO DI VERDONI DAVIDE E C. SOCIETA' SEM PLIC</t>
  </si>
  <si>
    <t>COMPAGNUCCI COMPAGNONI CARLA DANIELA</t>
  </si>
  <si>
    <t>VALLORANI FABIO</t>
  </si>
  <si>
    <t>MANSOUR NURI MARIANO</t>
  </si>
  <si>
    <t>FALCIONI ALDO</t>
  </si>
  <si>
    <t>PENSERINI PAOLO</t>
  </si>
  <si>
    <t>CAMBORATA MARTA</t>
  </si>
  <si>
    <t>AZIENDA AGRICOLA FIENAROLO DI BASSETTI JACOPO E BASSETTI ALESSANDRO SO</t>
  </si>
  <si>
    <t>BATTAZZI IVANA</t>
  </si>
  <si>
    <t>RUGGERI GIAMPAOLO</t>
  </si>
  <si>
    <t>ANGELI MIRKO</t>
  </si>
  <si>
    <t>CAPECCI SIMONE</t>
  </si>
  <si>
    <t>COLLI LUIGI</t>
  </si>
  <si>
    <t>BENEDETTI CLETO</t>
  </si>
  <si>
    <t>GALEOTTI EMANUELA</t>
  </si>
  <si>
    <t>BIANCHINI SAVERIO</t>
  </si>
  <si>
    <t>AMABILI GIANLUCA</t>
  </si>
  <si>
    <t>ROSELLI DANIELE</t>
  </si>
  <si>
    <t>PRINCIPI PAOLO</t>
  </si>
  <si>
    <t>SOC. AGRIC. IL MORO S.S.</t>
  </si>
  <si>
    <t>BASSETTI ROMANO</t>
  </si>
  <si>
    <t>FIN SERVICE DI PIERINI RENZO &amp; C. SAS IN LIQUIDAZIONE</t>
  </si>
  <si>
    <t>MAZZIERI MATTEO</t>
  </si>
  <si>
    <t>FEDELI EZIO</t>
  </si>
  <si>
    <t>PAOLUCCI GABRIELE</t>
  </si>
  <si>
    <t>CIMADAMORE GIANCARLO</t>
  </si>
  <si>
    <t>SOCIETA' AGRICOLA ELISAPETTA</t>
  </si>
  <si>
    <t>RAZZETTI &amp; MARCOZZI SOCIETA' SEMPLICE</t>
  </si>
  <si>
    <t>FALCITELLI MARIA</t>
  </si>
  <si>
    <t>CARLINI DANILO</t>
  </si>
  <si>
    <t>BIANCHI LUCA</t>
  </si>
  <si>
    <t>PERUZZINI DORIANO</t>
  </si>
  <si>
    <t>ZAFFINI GIORGIO</t>
  </si>
  <si>
    <t>SCOCCIA DOMENICO</t>
  </si>
  <si>
    <t>NASTASI GIUSEPPE</t>
  </si>
  <si>
    <t>ZAMPONI ENRICO</t>
  </si>
  <si>
    <t>LAZZERINI RENATO</t>
  </si>
  <si>
    <t>VOLTATTORNI LUCIANO</t>
  </si>
  <si>
    <t>LA TENUTA DI MATTIA SOCIETA' SEMPLICE AGROFORESTALE DI FORMENTINI IVAN</t>
  </si>
  <si>
    <t>SOCIETA' AGRICOLA ZEPPILLO BENITO E MICARELLI ANNA MARIA EREDI SOCIETA</t>
  </si>
  <si>
    <t>PECCI DANIELE</t>
  </si>
  <si>
    <t>BERNETTI AURELIO E PISTARELLI MARIA</t>
  </si>
  <si>
    <t>MAZZONI STEFANO</t>
  </si>
  <si>
    <t>BEVITORI ENRICO</t>
  </si>
  <si>
    <t>CALINI FRANCESCO</t>
  </si>
  <si>
    <t>MARONI ONORATO</t>
  </si>
  <si>
    <t>GASPARI LORIS</t>
  </si>
  <si>
    <t>COSTANTINI LORETTA</t>
  </si>
  <si>
    <t>SINCINI MAURO</t>
  </si>
  <si>
    <t>SISINI LAURA</t>
  </si>
  <si>
    <t>SCAFICCHIA LOREDANA</t>
  </si>
  <si>
    <t>SASSAROLI MARCELLA</t>
  </si>
  <si>
    <t>BIANCHINI TATIANA</t>
  </si>
  <si>
    <t>FOSCOLI GIUSEPPE</t>
  </si>
  <si>
    <t>SOCIETA' AGRICOLA TERRA E SAPORI DI BALDACCIONI ROMINA E RAIMONDO S.S.</t>
  </si>
  <si>
    <t>SCOLASTICI RAIMONDO</t>
  </si>
  <si>
    <t>SOCIETA' AGRICOLA RAIKA BIO S.S.</t>
  </si>
  <si>
    <t>GALOSI LUIGIA</t>
  </si>
  <si>
    <t>MODESTI GABRIELLA &amp; SAVELLI GIULIANO SS</t>
  </si>
  <si>
    <t>OTTAVIANI GIUSEPPE</t>
  </si>
  <si>
    <t>TR WINERY AND RESORT S.R.L. AGRICOLA</t>
  </si>
  <si>
    <t>SALVI DAVIDE</t>
  </si>
  <si>
    <t>LEARDINI EUGENIO</t>
  </si>
  <si>
    <t>CIOTTO PASQUALE</t>
  </si>
  <si>
    <t>CURTI VINCENZINA</t>
  </si>
  <si>
    <t>PACIFICI PAOLA</t>
  </si>
  <si>
    <t>RAFFAELLI ANTONELLA</t>
  </si>
  <si>
    <t>PINI MARIA CANDIDA</t>
  </si>
  <si>
    <t>PASQUALINI ARISTIDE</t>
  </si>
  <si>
    <t>PATTI VANOCCI LIDIA</t>
  </si>
  <si>
    <t>CAUWENBERG JACOBA THEODORA WILHELMINA</t>
  </si>
  <si>
    <t>SOCIETA' AGRICOLA LE MEZZELUNE DI MENGUCCI FRANCESCA E C SOCIETA' SEMP</t>
  </si>
  <si>
    <t>TEMPESTILLI GIUSEPPE</t>
  </si>
  <si>
    <t>ANTONIOLI GIOVANNA</t>
  </si>
  <si>
    <t>FAINI GIULIO</t>
  </si>
  <si>
    <t>SOCIETA' AGRICOLA LA COLLINA S.S.</t>
  </si>
  <si>
    <t>CIPRIANI RITA</t>
  </si>
  <si>
    <t>SOC.AGR.AGRISUN S.S.SCROCCHI STE</t>
  </si>
  <si>
    <t>SOCIETA' AGRICOLA BIO DI NUCCELLI BARBARA E SERENA S.R.L.</t>
  </si>
  <si>
    <t>SOCIETA' AGRICOLA IL GELSO DEI FRATELLI COFANI DI COFANI LUCA E MICHEL</t>
  </si>
  <si>
    <t>SOC:AGRICOLA ERCOLI BRUNO &amp; MORETTI DOMENICA S.S.</t>
  </si>
  <si>
    <t>FEDERICI BERNARDO</t>
  </si>
  <si>
    <t>VANGELISTA LUCA</t>
  </si>
  <si>
    <t>CAPECCI GIANLUCA</t>
  </si>
  <si>
    <t>CAPONI MAURIZIO</t>
  </si>
  <si>
    <t>SOC. AGR. FARA ANGELO &amp; BRUNO S.S.</t>
  </si>
  <si>
    <t>ARBAU PIERO E SALVATORE SOC SEMPLICE</t>
  </si>
  <si>
    <t>SOCIETA'AGRICOLA GABRIELLI ANGELO E ROBERTO S.S.</t>
  </si>
  <si>
    <t>LIBERI PIER FRANCESCO</t>
  </si>
  <si>
    <t>AZ. AGR. MONTEFELTRO DI CASULA, BANCI E GAMBINI SOCIETA' AGRICOLA</t>
  </si>
  <si>
    <t>BIONDI PIERINO</t>
  </si>
  <si>
    <t>VITTORI PIETRO</t>
  </si>
  <si>
    <t>SOCIETA' AGRICOLA AGRIBAU</t>
  </si>
  <si>
    <t>GALIZI GIOVANNA</t>
  </si>
  <si>
    <t>SASSI CRISTIANA</t>
  </si>
  <si>
    <t>FABIONERI GALILEO</t>
  </si>
  <si>
    <t>LEODE SRL</t>
  </si>
  <si>
    <t>FEDUZI ROMUALDO</t>
  </si>
  <si>
    <t>SOCIETA' AGRICOLA HERBIO S.S.</t>
  </si>
  <si>
    <t>AQUILI ZENO MAURO</t>
  </si>
  <si>
    <t>AZIENDA AGROBIOLOGICA SANGIOVANNI SOCIETA' AGRICOLA S.R.L.</t>
  </si>
  <si>
    <t>FINICELLI ELISABETTA</t>
  </si>
  <si>
    <t>CAA CIA - BRESCIA - 001</t>
  </si>
  <si>
    <t>LA VALLE SOCIETA' AGRICOLA DI PEZZOLA S.S.</t>
  </si>
  <si>
    <t>SCARPACCI MICHELE</t>
  </si>
  <si>
    <t>URBINATI NILDE</t>
  </si>
  <si>
    <t>SARGENTI MARTINO</t>
  </si>
  <si>
    <t>FICCADENTI IRENE</t>
  </si>
  <si>
    <t>VALENTI PIERLUIGI</t>
  </si>
  <si>
    <t>SOCIETA' AGRICOLA ANDREUCCIOLI S.S.</t>
  </si>
  <si>
    <t>SERINI ELVEZIO</t>
  </si>
  <si>
    <t>MARCHIONNI TIZIANA</t>
  </si>
  <si>
    <t>ALEANDRI EMILIO</t>
  </si>
  <si>
    <t>AZIENDA AGRICOLA AGRITURISTICA IERVASCIO' DI GIANNETTI ATTILIO E C. SO</t>
  </si>
  <si>
    <t>ROMAGNOLI MARIA PIA</t>
  </si>
  <si>
    <t>MARTINANGELI MASSIMO</t>
  </si>
  <si>
    <t>SOCIETA' AGRICOLA COLLE BAETO S.S.</t>
  </si>
  <si>
    <t>TRIONFETTI DANIELE</t>
  </si>
  <si>
    <t>ROSCIOLI BRUNO</t>
  </si>
  <si>
    <t>CORA DI CARBONI SANTE &amp; C. S.N.C.</t>
  </si>
  <si>
    <t>CARTAGINE VERONICA</t>
  </si>
  <si>
    <t>MATTEI LIVIANA</t>
  </si>
  <si>
    <t>MONTANARI ANGELO</t>
  </si>
  <si>
    <t>SACCOMANDI MICHELE</t>
  </si>
  <si>
    <t>SERGIACOMI MARIA</t>
  </si>
  <si>
    <t>ALNHILAN DI OLIVIA BIZZARRI &amp; C. - SOCIETA' AGRICOLA IN ACCOMANDI TA S</t>
  </si>
  <si>
    <t>FARES ANGELA</t>
  </si>
  <si>
    <t>DUGGENTO PAOLO</t>
  </si>
  <si>
    <t>ILLUMINATI ALFREDO &amp; MARCHETTI MARIAGRAZIA SOC.SEMPLICE</t>
  </si>
  <si>
    <t>CARPINETI PIETRO</t>
  </si>
  <si>
    <t>MAGGI NAZZARENO</t>
  </si>
  <si>
    <t>VANNUCCI GIAN CARLO</t>
  </si>
  <si>
    <t>CELESCHI CLAUDIO</t>
  </si>
  <si>
    <t>SACRIPANTI AFRA</t>
  </si>
  <si>
    <t>BERNETTI MAURO E MANNOZZI ARGENTINA</t>
  </si>
  <si>
    <t>SOCIETA' AGRICOLA RIPOSATI GIANNINO E ALDER JANETTE ELISABETH SOCIETA'</t>
  </si>
  <si>
    <t>GAMBONI ANTONIO</t>
  </si>
  <si>
    <t>SPARVOLI GIOVANNI</t>
  </si>
  <si>
    <t>SOCIETA AGRICOLA EREDI GINORETTI VENANZO S.S.</t>
  </si>
  <si>
    <t>FILIPPONI GIUSEPPE</t>
  </si>
  <si>
    <t>DE ANGELIS ENRICO</t>
  </si>
  <si>
    <t>CIAPPELLONI PIERINO</t>
  </si>
  <si>
    <t>LODDO PIER GIORGIO S.R.L. SOCIETA' AGRICOLA SRL A CAPITALE RIDOTTO</t>
  </si>
  <si>
    <t>DE BELLIS ENNIA</t>
  </si>
  <si>
    <t>GIOVANNINI ILEANA</t>
  </si>
  <si>
    <t>MOSCHINI MELANIA</t>
  </si>
  <si>
    <t>CAPPARE' ENZO</t>
  </si>
  <si>
    <t>PALA GIORGIO</t>
  </si>
  <si>
    <t>PRETE SILVIA</t>
  </si>
  <si>
    <t>VALLORANI BERNARDINA</t>
  </si>
  <si>
    <t>RICCIO' DI TRAMANNONI RAFFAELE &amp; C. S.A.S.</t>
  </si>
  <si>
    <t>CUCCULELLI ANTONIO</t>
  </si>
  <si>
    <t>CANCELLIERI DAVID</t>
  </si>
  <si>
    <t>MODESTI LUIGINA</t>
  </si>
  <si>
    <t>FRANCESCONI GUGLIELMO</t>
  </si>
  <si>
    <t>VENAROTTA SANTE</t>
  </si>
  <si>
    <t>MICUCCI ERMANNO</t>
  </si>
  <si>
    <t>MOLISANI MARIA</t>
  </si>
  <si>
    <t>POLOZZI ANDREA</t>
  </si>
  <si>
    <t>CORRADINI ALFREDO</t>
  </si>
  <si>
    <t>CAVALIERI ANTONIO</t>
  </si>
  <si>
    <t>SOCIETA' AGRICOLA F.LLI GRILLI S.S. DI GRILLI GIANMARCO E GRILLI PIERP</t>
  </si>
  <si>
    <t>FORCONI VINCENZA</t>
  </si>
  <si>
    <t>SOCIETA' AGRICOLA S. URBANO DI FUCILI S.S.</t>
  </si>
  <si>
    <t>BELTRAME GEMMA</t>
  </si>
  <si>
    <t>PIERSIGILLI RAFFAELE</t>
  </si>
  <si>
    <t>MASSACCI DANY</t>
  </si>
  <si>
    <t>PACENTI CRISTIAN</t>
  </si>
  <si>
    <t>FRANCIONI GIOVANNI</t>
  </si>
  <si>
    <t>IANNO ANNA ANGELA</t>
  </si>
  <si>
    <t>DOPPIERI CRISTIANA</t>
  </si>
  <si>
    <t>PALAFERRI GIOVANNI</t>
  </si>
  <si>
    <t>AZIENDA AGRICOLA TENUTA MUSONE SOCIETA' AGRICOLA A RESPONSABILITA' LIM</t>
  </si>
  <si>
    <t>MONTI GIUSEPPE</t>
  </si>
  <si>
    <t>OTTAVIANI BRUNO</t>
  </si>
  <si>
    <t>LUPINI LARISA</t>
  </si>
  <si>
    <t>VITTORI FRANCESCO</t>
  </si>
  <si>
    <t>GAGGINI GIULIANA</t>
  </si>
  <si>
    <t>CERTELLI GABRIELLA</t>
  </si>
  <si>
    <t>PIERANGELI LUCA</t>
  </si>
  <si>
    <t>DI FELICE MAURO</t>
  </si>
  <si>
    <t>BEBI EMILIO</t>
  </si>
  <si>
    <t>MEO FABRIZIO</t>
  </si>
  <si>
    <t>RIBECHI MARIO</t>
  </si>
  <si>
    <t>SCHIAROLI MARIO</t>
  </si>
  <si>
    <t>SPACCAPANICCIA GUIDO</t>
  </si>
  <si>
    <t>CIACCI GIORGINA</t>
  </si>
  <si>
    <t>CHERRI PAOLO</t>
  </si>
  <si>
    <t>SAN LAZZARO SOCIETA' AGR. SEMPLICE</t>
  </si>
  <si>
    <t>FADDA MELCHIORRE</t>
  </si>
  <si>
    <t>GIONNI LUCA</t>
  </si>
  <si>
    <t>ARPINI AMALIA E C. SOCIETA' SEMPLICE</t>
  </si>
  <si>
    <t>RUGGERI ROSSELLA</t>
  </si>
  <si>
    <t>BONETTI BRUNO</t>
  </si>
  <si>
    <t>LE SORGENTI SOCIETA' SEMPLICE</t>
  </si>
  <si>
    <t>GAMBINI GABRIELE</t>
  </si>
  <si>
    <t>VAGNONI TONINO</t>
  </si>
  <si>
    <t>CAPPONI AURELIO</t>
  </si>
  <si>
    <t>CICOLA MARIO</t>
  </si>
  <si>
    <t>ROSSI TOMMASO</t>
  </si>
  <si>
    <t>PISTOLA ENRICA</t>
  </si>
  <si>
    <t>LOSANI CATERINA</t>
  </si>
  <si>
    <t>CORRENTI MARCELLO</t>
  </si>
  <si>
    <t>VALLORANI MARIA PLACIDA</t>
  </si>
  <si>
    <t>CIACCI PAOLO</t>
  </si>
  <si>
    <t>GASPARRONI TONINO</t>
  </si>
  <si>
    <t>VITALI PINO</t>
  </si>
  <si>
    <t>MARCHETTI MAURIZIO</t>
  </si>
  <si>
    <t>ROCCHETTI CLAUDIO</t>
  </si>
  <si>
    <t>BARONA ALDA AMALIA CLAUDIA</t>
  </si>
  <si>
    <t>AMA - AQUILONE COOPERATIVA SOCIALE</t>
  </si>
  <si>
    <t>SOCIETA' AGRICOLA NOVILARA SRL</t>
  </si>
  <si>
    <t>PETRELLI CARNI SOCIETA' AGRICOLA SEMPLICE</t>
  </si>
  <si>
    <t>POETA MASSIMO</t>
  </si>
  <si>
    <t>GROSSI SIMONETTA</t>
  </si>
  <si>
    <t>ROMITI JONATHAN</t>
  </si>
  <si>
    <t>LIVI GIUSEPPE</t>
  </si>
  <si>
    <t>MACCARI CESARE,LUIGI E ANTONIO</t>
  </si>
  <si>
    <t>SOCIETA' AGRICOLA CAGNUCCI PIER GIORGIO E C. SOC. SEMPLICE</t>
  </si>
  <si>
    <t>TIZI ADORNO</t>
  </si>
  <si>
    <t>PELLEGRINI MARIA TERESA</t>
  </si>
  <si>
    <t>LUCHETTA AUGUSTO</t>
  </si>
  <si>
    <t>VITALETTI ANDREA</t>
  </si>
  <si>
    <t>CANALI ISA MIRANDA</t>
  </si>
  <si>
    <t>COVERINI PIETRO</t>
  </si>
  <si>
    <t>NAVONE CLAUDIO MARIA</t>
  </si>
  <si>
    <t>SILVESTRINI ISABELLA</t>
  </si>
  <si>
    <t>FRASCARELLI GERVASIO</t>
  </si>
  <si>
    <t>SOCIETA' AGRICOLA NO E MI SOCIETA' SEMPLICE</t>
  </si>
  <si>
    <t>BRANDONI ALESSIO</t>
  </si>
  <si>
    <t>FERRI ROSA</t>
  </si>
  <si>
    <t>BERTI OVIDIO</t>
  </si>
  <si>
    <t>VESPRINI EMANUELE E MARIANNA SOCIETA' AGRICOLA SEMPLICE</t>
  </si>
  <si>
    <t>PERUGINI SILVANA</t>
  </si>
  <si>
    <t>CRAIA FEDERICO</t>
  </si>
  <si>
    <t>GENTILI LORIS</t>
  </si>
  <si>
    <t>REGOLO ANGELA MARIA</t>
  </si>
  <si>
    <t>SERENA SOCIETA' AGRICOLA SEMPLICE</t>
  </si>
  <si>
    <t>SECCACINI FEA</t>
  </si>
  <si>
    <t>SOCIETA' AGRICOLA TORRAIMUNI EREDI CARLA BOTTALIGA DI MAURIZIO CONTE E</t>
  </si>
  <si>
    <t>GRAZIOSI GIUSEPPE</t>
  </si>
  <si>
    <t>AZIENDA AGRICOLA S.SETTIMIO SRL</t>
  </si>
  <si>
    <t>I.A.R. INIZIATIVE AGRICOLE RIUNITE</t>
  </si>
  <si>
    <t>ENA ANTONELLO</t>
  </si>
  <si>
    <t>CATINARI MONIA</t>
  </si>
  <si>
    <t>MORODER ALESSANDRO</t>
  </si>
  <si>
    <t>NUCCI NAZZARIO</t>
  </si>
  <si>
    <t>AGOSTINI MARIA PIA &amp; PAOLETTI DOMENICO SDF</t>
  </si>
  <si>
    <t>MONTEBOVE SOCIETA' SEMPLICE AGRICOLA</t>
  </si>
  <si>
    <t>AZIENDA AGROFORESTALE FONTEZOPPA DI PIERO LUZI &amp; C. SOCIETA' AGRI</t>
  </si>
  <si>
    <t>FUCILI FRANCO</t>
  </si>
  <si>
    <t>SOCIETA' AGRICOLA VALDIFIASTRA SAS DI FERIOLI ANNA RITA &amp; C.</t>
  </si>
  <si>
    <t>SPURIO ALBANO</t>
  </si>
  <si>
    <t>RICCIONI LUISA</t>
  </si>
  <si>
    <t>SOCIETA' AGR. IL CONVENTINO DI MONTECICCARDO SAS DI MARCANTO</t>
  </si>
  <si>
    <t>FALSETTI GABRIELE</t>
  </si>
  <si>
    <t>PIERANGELI GIANSILVANO</t>
  </si>
  <si>
    <t>SOCIETA' AGRICOLA CARPINETI S.S.</t>
  </si>
  <si>
    <t>COLLETTA MAURO</t>
  </si>
  <si>
    <t>SIBILLA SOCIETA' AGRICOLA S.R.L. A CAPITALE RIDOTTO</t>
  </si>
  <si>
    <t>CANZIAN MASSIMO</t>
  </si>
  <si>
    <t>UGOLINI ANTONIO</t>
  </si>
  <si>
    <t>SOCIETA' AGRICOLA TTERRA DEL VENTO &amp; C.SAS DI SCATASSA DAVIDE</t>
  </si>
  <si>
    <t>GABELLINI GABRIELE-DOMENICO</t>
  </si>
  <si>
    <t>VITALETTI LEONARDO</t>
  </si>
  <si>
    <t>GABRIELLI MARCO</t>
  </si>
  <si>
    <t>FIORI DE ANGELIS SAS DI MORI GIUSEPPE &amp; C.</t>
  </si>
  <si>
    <t>OTTAVIANI GIACOMO</t>
  </si>
  <si>
    <t>ABBRUCIATI LIBERO</t>
  </si>
  <si>
    <t>AZ.AGR.PASSERI FRANCO,FABIO E FRANCESCA SOC.AGR.SEMPLICE</t>
  </si>
  <si>
    <t>SOCIETA' AGRICOLA PAIARDINI DI PAIARDINI TINO &amp; C. S.A.S.</t>
  </si>
  <si>
    <t>BARBERINI DAVIDE</t>
  </si>
  <si>
    <t>TANFANI GABRIELE</t>
  </si>
  <si>
    <t>NESPECA MARIA TERESA</t>
  </si>
  <si>
    <t>CORVARO LUCIANA</t>
  </si>
  <si>
    <t>OSSOLI FORTUNATO</t>
  </si>
  <si>
    <t>A.M.A. DEI F.LLI SALVUCCI A. E A. E GUARNIERI M.SS</t>
  </si>
  <si>
    <t>VALLORANI PRIMO</t>
  </si>
  <si>
    <t>SOCIETA' AGRICOLA "LE GENGHE DI NONNO ANGELO" S.S.</t>
  </si>
  <si>
    <t>SOCIETA' AGRICOLA - BORDINI ADOLFO E ANTONIO S.S.</t>
  </si>
  <si>
    <t>TENAGLIA MAURA</t>
  </si>
  <si>
    <t>STOPPO FABRIZIO</t>
  </si>
  <si>
    <t>AZIENDA AGRICOLA ALLA VECCHIA QUERCIA DI MEYER CORINNE &amp; C. SNC</t>
  </si>
  <si>
    <t>GIUDICI FILIPPO</t>
  </si>
  <si>
    <t>BRUSCAGLIA NAZZARENO</t>
  </si>
  <si>
    <t>SALTALAMACCHIA LUCIA</t>
  </si>
  <si>
    <t>MENCARINI ALBINO</t>
  </si>
  <si>
    <t>POLVERARI ROSETTA</t>
  </si>
  <si>
    <t>BIONDI FERNANDO</t>
  </si>
  <si>
    <t>BARBIZZI PAOLA</t>
  </si>
  <si>
    <t>AMADIO GIUSEPPE</t>
  </si>
  <si>
    <t>CARDELLINI FABRIZIO</t>
  </si>
  <si>
    <t>SOLFANELLI GIULIANO</t>
  </si>
  <si>
    <t>MARCHETTI LUIGINO</t>
  </si>
  <si>
    <t>CARBONI SIMONA</t>
  </si>
  <si>
    <t>MAROZZI IDA</t>
  </si>
  <si>
    <t>ORAZI LAURO</t>
  </si>
  <si>
    <t>MAZZONI MAURIZIO</t>
  </si>
  <si>
    <t>CIONNA ALBERTO</t>
  </si>
  <si>
    <t>ALLEGRINI ALFREDO</t>
  </si>
  <si>
    <t>D'ERASMO FRANCESCO</t>
  </si>
  <si>
    <t>MICONI RAFFAELE</t>
  </si>
  <si>
    <t>STOPPO MAURO</t>
  </si>
  <si>
    <t>BACCHIOCCHI MAICOL</t>
  </si>
  <si>
    <t>CIUCCI CARLO</t>
  </si>
  <si>
    <t>GARDONI MARIA LETIZIA</t>
  </si>
  <si>
    <t>VITIVINICOLA COSTADORO SOCIETA' AGRICOLA S.R.L.</t>
  </si>
  <si>
    <t>AZ.AGR. FIORENIRE DI COCCI P.FRANCESCO E COCCI C. SS SOC. A</t>
  </si>
  <si>
    <t>LE STROPPIGLIOSE SOCIETA' AGRICOLA SEMPLICE</t>
  </si>
  <si>
    <t>NAZZARI LIVIA</t>
  </si>
  <si>
    <t>YESI FOOD S.R.L. SOCIETA' AGRICOLA</t>
  </si>
  <si>
    <t>RUFFINI MARIA-AUSILIA</t>
  </si>
  <si>
    <t>LUNGHI ANTONELLA MANUELA</t>
  </si>
  <si>
    <t>GIACOMUCCI LINO</t>
  </si>
  <si>
    <t>AZIENDA AGRICOLA FRATELLI POLITI SOCIETA' SEMPLICE</t>
  </si>
  <si>
    <t>GORONI BEATRICE</t>
  </si>
  <si>
    <t>CAVINA PAOLA</t>
  </si>
  <si>
    <t>FERRETTI ALFREDO</t>
  </si>
  <si>
    <t>FARINA PASQUALE E DIEGO SOCIETA' SEMPLICE</t>
  </si>
  <si>
    <t>SOCIETA' AGRICOLA COLLE CASINI CORTESI DI DIGNANI MATTEO &amp; C. S.S.</t>
  </si>
  <si>
    <t>SOCIETA' AGRICOLA D'EUGENIO ITALO E FIGLI SRL</t>
  </si>
  <si>
    <t>GIACOMONI CESARE</t>
  </si>
  <si>
    <t>MAZZONI PIETRO</t>
  </si>
  <si>
    <t>PIERSANTI MAURIZIO</t>
  </si>
  <si>
    <t>FUNARI ANTONIO</t>
  </si>
  <si>
    <t>BUGUGNOLI SAMANTA</t>
  </si>
  <si>
    <t>PALAZZESI FRANCESCO</t>
  </si>
  <si>
    <t>ROMITELLI FAUSTO</t>
  </si>
  <si>
    <t>BITTI LUIGI</t>
  </si>
  <si>
    <t>VEDOVI CLAUDIO</t>
  </si>
  <si>
    <t>MASTROCOLA LUCIA</t>
  </si>
  <si>
    <t>FERRETTI GIUSEPPE PAUL</t>
  </si>
  <si>
    <t>LORENZI SILVANO</t>
  </si>
  <si>
    <t>PENNACCHI GIULIO</t>
  </si>
  <si>
    <t>VERDICCHIO FRANCO</t>
  </si>
  <si>
    <t>SCENDONI GIOVANNI</t>
  </si>
  <si>
    <t>MULAS PIETRO</t>
  </si>
  <si>
    <t>BINDELLI-MINARDI SOCIETA' AGRICOLA S.R.L.</t>
  </si>
  <si>
    <t>TROBBIANI GIULIANO</t>
  </si>
  <si>
    <t>ANGELINI UMBERTO</t>
  </si>
  <si>
    <t>VINCENZETTI CATERINA</t>
  </si>
  <si>
    <t>MERELLI MARCELLO</t>
  </si>
  <si>
    <t>COCCI PIERINO E COCCI ANGELO SOC. SEMPLICE</t>
  </si>
  <si>
    <t>CAUCCI GABRIELE</t>
  </si>
  <si>
    <t>CIACCI MASSIMO</t>
  </si>
  <si>
    <t>POGGI DANTE</t>
  </si>
  <si>
    <t>VITALI MASSIMO</t>
  </si>
  <si>
    <t>SPACCAPANICCIA GIOVANNI</t>
  </si>
  <si>
    <t>BERNARDI MANUEL</t>
  </si>
  <si>
    <t>AZ.AGRICOLA SAN BIAGIO DI VALERIANI PIETRO E C. SOC.SEMPLICE</t>
  </si>
  <si>
    <t>FULVI CARLO FELICE</t>
  </si>
  <si>
    <t>CARBONETTI MARINA</t>
  </si>
  <si>
    <t>TUCCINI AMEDEO</t>
  </si>
  <si>
    <t>BURATTI LOREDANA</t>
  </si>
  <si>
    <t>GOBBI LORENZO</t>
  </si>
  <si>
    <t>ANGELINI MARIA DOMENICA</t>
  </si>
  <si>
    <t>SOCIETA' AGRICOLA IL CANNETO S.R.L.</t>
  </si>
  <si>
    <t>AZIENDA AGRICOLA MEZZANOTTE DI MASSI SIMONE E C. - SOCIETA' AGRICOLA I</t>
  </si>
  <si>
    <t>FEDELI PAOLA</t>
  </si>
  <si>
    <t>LALLI CARMINE</t>
  </si>
  <si>
    <t>AZ. AGR. DI PANAREO MARIA FRANCESCA E SOCIO</t>
  </si>
  <si>
    <t>SALVUCCI ADRIANO</t>
  </si>
  <si>
    <t>BOTTICELLI DOMENICO</t>
  </si>
  <si>
    <t>EREDI CONTIGIANI PIERDOMENICO DI CONTIGIANI MARCO, ELISA E PACIONI LIA</t>
  </si>
  <si>
    <t>SOCIETA' AGRICOLA COSTE DEL SOLE DI GARBINI LUCIA E ROSSI FOSCO MARIA</t>
  </si>
  <si>
    <t>BIO DEGLI AZZONI SOCIETA' SEMPLICE SOCIETA' AGRICOLA</t>
  </si>
  <si>
    <t>PACCUSSE LINO</t>
  </si>
  <si>
    <t>SOCIETA' AGRICOLA SANT'ANDREA DI BERNARDINI PAOLA E C. SOCIETA' SEMPLI</t>
  </si>
  <si>
    <t>BELTRAMI E TELLENIO SOCIETA' AGRICOLA S.S.</t>
  </si>
  <si>
    <t>CANCELLIERI RAIMONDO</t>
  </si>
  <si>
    <t>ANSUINELLI PIETRO</t>
  </si>
  <si>
    <t>CRISTALLINI RICCARDO</t>
  </si>
  <si>
    <t>CASAVECCHIA LORENZA</t>
  </si>
  <si>
    <t>PALMAS BACHISIO</t>
  </si>
  <si>
    <t>STRACCI PIETRO</t>
  </si>
  <si>
    <t>SPONZA SILVIA</t>
  </si>
  <si>
    <t>DAMIANI MASSIMO</t>
  </si>
  <si>
    <t>MARINELLI HENRY</t>
  </si>
  <si>
    <t>LIVI RENATO</t>
  </si>
  <si>
    <t>ROTILI VITTORIO</t>
  </si>
  <si>
    <t>NICOLINI SAURO</t>
  </si>
  <si>
    <t>MAGGIA MANUELA</t>
  </si>
  <si>
    <t>ROSORANI NADIA</t>
  </si>
  <si>
    <t>TONTINI PAOLA</t>
  </si>
  <si>
    <t>GALASSI SARAH</t>
  </si>
  <si>
    <t>CASTELLI SANDRO</t>
  </si>
  <si>
    <t>MAZZONI ARNALDO</t>
  </si>
  <si>
    <t>LEONARDI ANTONIO</t>
  </si>
  <si>
    <t>MORETTI QUINTO</t>
  </si>
  <si>
    <t>COL DI CORTE S.R.L. SOCIETA' AGRICOLA</t>
  </si>
  <si>
    <t>GNASSI ITALO</t>
  </si>
  <si>
    <t>SOCIETA' AGRICOLA BARZOTTI ALDO E FIGLI SS</t>
  </si>
  <si>
    <t>FIORONI MAURO</t>
  </si>
  <si>
    <t>VAGNINI ENZO</t>
  </si>
  <si>
    <t>CICCOLINI ROBERTO</t>
  </si>
  <si>
    <t>BECCERICA ANDREA</t>
  </si>
  <si>
    <t>SAN LORENZO SOCIETA' COOPERATIVA</t>
  </si>
  <si>
    <t>DOMINICI GIUSEPPE</t>
  </si>
  <si>
    <t>TESTA LUCA</t>
  </si>
  <si>
    <t>CACCIAMANI ROBERTO</t>
  </si>
  <si>
    <t>SCORTICHINI DOMENICO</t>
  </si>
  <si>
    <t>SOCIETA' AGRICOLA BUCCHINI DAVIDE E ROMANI STEFANIA SS</t>
  </si>
  <si>
    <t>SCARAFONI EROS</t>
  </si>
  <si>
    <t>MENNA ELISA</t>
  </si>
  <si>
    <t>VALLORANI DOMENICO</t>
  </si>
  <si>
    <t>SORANA DANILO</t>
  </si>
  <si>
    <t>GAUDENZI GIORGIO</t>
  </si>
  <si>
    <t>PIGOTTI EMO</t>
  </si>
  <si>
    <t>ILARI DANIELE</t>
  </si>
  <si>
    <t>CECCHINI VERONICA</t>
  </si>
  <si>
    <t>BICCHIARELLI GABRIELE</t>
  </si>
  <si>
    <t>SOCIETA' AGRICOLA F.LLI FOGLIETTA S.S.</t>
  </si>
  <si>
    <t>SOCIETA AGRICOLA MONSIGNORI LORENZO E ELISEO, BARCHETTI LETIZIA S.S.</t>
  </si>
  <si>
    <t>MENGARELLI GIOVANNI</t>
  </si>
  <si>
    <t>DIONISI ANTONIO</t>
  </si>
  <si>
    <t>VAGNERINI PIER GIORGIO</t>
  </si>
  <si>
    <t>FERRI LUCIO ROMANO</t>
  </si>
  <si>
    <t>ANGELUCCI ROBERTO</t>
  </si>
  <si>
    <t>DURINZI PIERO E DOMENICO S.S</t>
  </si>
  <si>
    <t>NAPOLEONI LUISELLA</t>
  </si>
  <si>
    <t>CAPRIOTTI MARIO</t>
  </si>
  <si>
    <t>ROSSI MARIA ENRICA</t>
  </si>
  <si>
    <t>GIUDICI SOCIETA' AGRICOLA</t>
  </si>
  <si>
    <t>CALIA CLAUDIA</t>
  </si>
  <si>
    <t>PIAGGESI LUCIANO</t>
  </si>
  <si>
    <t>CRUCIANI LUCA</t>
  </si>
  <si>
    <t>PETTINARI ANNA MARIA</t>
  </si>
  <si>
    <t>SOCIETA' AGRICOLA LA COLLINA DEI CAVALIERI DI ROCCHI LUANA &amp; C. SOCIET</t>
  </si>
  <si>
    <t>CAMAIANI PIETRO PAOLO</t>
  </si>
  <si>
    <t>MAZZANTI RINA</t>
  </si>
  <si>
    <t>INCICCO TERESA</t>
  </si>
  <si>
    <t>TRAVAGLIATI LEONARDO</t>
  </si>
  <si>
    <t>CENTANNI GIACOMO</t>
  </si>
  <si>
    <t>NIBI SALVATORE</t>
  </si>
  <si>
    <t>SOCIETA' AGRICOLA BIOSIBILLA</t>
  </si>
  <si>
    <t>BECCERICA UMBERTO</t>
  </si>
  <si>
    <t>TURCHI FABIO</t>
  </si>
  <si>
    <t>MALAGGI ENNIA</t>
  </si>
  <si>
    <t>PIRISI PEPPINO</t>
  </si>
  <si>
    <t>RINALDI GIUSEPPE</t>
  </si>
  <si>
    <t>GUGLIELMI MASSIMO</t>
  </si>
  <si>
    <t>BIAGETTI LORENA</t>
  </si>
  <si>
    <t>AGRIFORAGGI SOC. AGRICOLA DI CARESTIA DANIELE &amp; C. S.S.</t>
  </si>
  <si>
    <t>D'UVA PAOLO</t>
  </si>
  <si>
    <t>BRACHINI PAOLA</t>
  </si>
  <si>
    <t>POLINI ENZO</t>
  </si>
  <si>
    <t>SOCIETA' AGRICOLA E FORESTALE SAN MARCELLO S.S.</t>
  </si>
  <si>
    <t>MAURIZI RITA</t>
  </si>
  <si>
    <t>AESA SOCIETA' AGRICOLA S.S.</t>
  </si>
  <si>
    <t>SOC.AGR."LA CORTE"DI CONTI GIULIANO E FELICIONI GIORGIO S.S.</t>
  </si>
  <si>
    <t>STRACCIA MARIO</t>
  </si>
  <si>
    <t>BRIZI MARISA</t>
  </si>
  <si>
    <t>BREGA ALFIO</t>
  </si>
  <si>
    <t>BURATTINI VALERIA</t>
  </si>
  <si>
    <t>NOVELLO MARCO</t>
  </si>
  <si>
    <t>SAN BIAGIO SAS DI GIOACCHINO GIUSEPPE GIROTTI &amp; C.</t>
  </si>
  <si>
    <t>NATMESSNIG MICHAEL</t>
  </si>
  <si>
    <t>TADDEI ALESSANDRO</t>
  </si>
  <si>
    <t>SOCIETA' AGRICOLA FRATELLI ROSSETTI SOCIETA' SEMPLICE</t>
  </si>
  <si>
    <t>BATTILOCCHIO BRUNO</t>
  </si>
  <si>
    <t>BONCI SEBASTIANO</t>
  </si>
  <si>
    <t>SOCIETA' AGRICOLA MANASSE GIANCARLO &amp; ORLANDO S.S.</t>
  </si>
  <si>
    <t>SALVUCCI ELIO</t>
  </si>
  <si>
    <t>COCCI BRUNA</t>
  </si>
  <si>
    <t>BOMPREZZI ALBERTO</t>
  </si>
  <si>
    <t>CIACCI ANGELO</t>
  </si>
  <si>
    <t>GRESTA FIORENZO</t>
  </si>
  <si>
    <t>VERDUCCI MASSIMO</t>
  </si>
  <si>
    <t>TORTOLINI GIAMBATTISTA</t>
  </si>
  <si>
    <t>VAGNONI GRAZIANO</t>
  </si>
  <si>
    <t>SOCIETA' AGRICOLA IL TRIBBIO S.S.</t>
  </si>
  <si>
    <t>ROSSI LUIGI</t>
  </si>
  <si>
    <t>GABRIELLI GRAZIANO</t>
  </si>
  <si>
    <t>VAGNONI MARIO</t>
  </si>
  <si>
    <t>PRETELLI FRANCESCO</t>
  </si>
  <si>
    <t>ROLEN SNC DI CONSORTI LEONARDO &amp; C.</t>
  </si>
  <si>
    <t>SOCIETA'AGRICOLA M.E.C.A.G.A.P. DI CIPPITELLI ENNIO E C. SAS</t>
  </si>
  <si>
    <t>DI RUSCIO CLAUDIO</t>
  </si>
  <si>
    <t>BRINCIVALLI DOMENICO</t>
  </si>
  <si>
    <t>TENIMENTI LE GINESTRE SRL SOCAGR</t>
  </si>
  <si>
    <t>SCAGNOLI LILIA</t>
  </si>
  <si>
    <t>BATTISTELLI LUCIA</t>
  </si>
  <si>
    <t>ANGELICI RENZO</t>
  </si>
  <si>
    <t>FONTI ROMINA</t>
  </si>
  <si>
    <t>SAGRETTI MARIA</t>
  </si>
  <si>
    <t>TRINEI ALESSANDRO</t>
  </si>
  <si>
    <t>EUSEBI MASSIMILIANO</t>
  </si>
  <si>
    <t>RUGGIU ANTONIO</t>
  </si>
  <si>
    <t>ANDREUCCI VALENTINA</t>
  </si>
  <si>
    <t>SALVATORI ANNA</t>
  </si>
  <si>
    <t>CORRADETTI MAIKA</t>
  </si>
  <si>
    <t>VERDENELLI ANNUNZIATA</t>
  </si>
  <si>
    <t>LANDINI GIACOMO</t>
  </si>
  <si>
    <t>VANNUCCI AGOSTINO</t>
  </si>
  <si>
    <t>CHERCHI PIERO FRANCO</t>
  </si>
  <si>
    <t>MICCIO GIUSEPPE</t>
  </si>
  <si>
    <t>CAPECCI ROBERTO</t>
  </si>
  <si>
    <t>MARCHESINI MONIA</t>
  </si>
  <si>
    <t>SILVESTRI ADELMO</t>
  </si>
  <si>
    <t>CIPOLLETTI ANDREA</t>
  </si>
  <si>
    <t>UGOLINI LUCA</t>
  </si>
  <si>
    <t>AZIENDA AGRICOLA FILANTI IVO E PRETELLI FABIOLA S.S.</t>
  </si>
  <si>
    <t>CICCIOLI NERIO</t>
  </si>
  <si>
    <t>LORENZETTI LORENZO</t>
  </si>
  <si>
    <t>SOCIETA' AGRICOLA SEMPLICE BARONCIANI LUCIANO E MARINO</t>
  </si>
  <si>
    <t>LE CANA' SOCIETA' AGRICOLA SEMPLICE</t>
  </si>
  <si>
    <t>FILODIVINO SOCIETA' AGRICOLA FORESTALE S.R.L.</t>
  </si>
  <si>
    <t>MARCHIONNI DOMENICO</t>
  </si>
  <si>
    <t>AZ. AGR. DI SANTE SOCIETA' AGRICOLA S.S.</t>
  </si>
  <si>
    <t>GAMBINI GRETA</t>
  </si>
  <si>
    <t>BALLARINI BRUNO</t>
  </si>
  <si>
    <t>AZ. AGR. LUZI GIANNALBERTO - ALESSANDRO &amp; C. SOCIETA'AGRICOLA S.S.</t>
  </si>
  <si>
    <t>BASILISSI MARIO</t>
  </si>
  <si>
    <t>SOCIETA' AGRICOLA CASULA</t>
  </si>
  <si>
    <t>PASSACANTANDO ANDREA</t>
  </si>
  <si>
    <t>SOCIETA' AGRICOLA OMICCIOLI SERENA S.S.</t>
  </si>
  <si>
    <t>PACESCHI EMANUELE</t>
  </si>
  <si>
    <t>SOCIETA' BIO AGRICOLA MIA S.R.L.C.R.</t>
  </si>
  <si>
    <t>CANCELLIERI GIOVANNI</t>
  </si>
  <si>
    <t>F.LLI CECCARELLI EMIDIO&amp;AGOSTINO</t>
  </si>
  <si>
    <t>SCIARRESI LORENZO</t>
  </si>
  <si>
    <t>BROCANI GIUSEPPE</t>
  </si>
  <si>
    <t>IL FALCO DI RENZI ANDREA &amp; C. SOCIETA' AGRICOLA SEMPLICE</t>
  </si>
  <si>
    <t>BARONCIANI MARINO</t>
  </si>
  <si>
    <t>COCCI ELISABETTA</t>
  </si>
  <si>
    <t>POLENTA SAMUELA</t>
  </si>
  <si>
    <t>CENTANNI ELISA E DANIELA SOCIETA SEMPLICE AGRICOLA</t>
  </si>
  <si>
    <t>STRACCIA JULIO GIUSEPPE</t>
  </si>
  <si>
    <t>CAVATORTA GIOVANNA</t>
  </si>
  <si>
    <t>INFRICCIOLI GIUSEPPE</t>
  </si>
  <si>
    <t>SOCIETA AGRICOLA RINOZZI LUCA E MAURIZIO S.S.</t>
  </si>
  <si>
    <t>FIORAVANTI ANGELAPIA</t>
  </si>
  <si>
    <t>VAGNONI GIANFRANCO</t>
  </si>
  <si>
    <t>MARZIALI CARLO</t>
  </si>
  <si>
    <t>SOCIETA' AGRICOLA PALLINO S.S.</t>
  </si>
  <si>
    <t>DOMINICI RITA</t>
  </si>
  <si>
    <t>BARCAIONI SILVIA</t>
  </si>
  <si>
    <t>BERTAZZO EMANUELE</t>
  </si>
  <si>
    <t>BORTOLUZZI GIACOMO</t>
  </si>
  <si>
    <t>MATTIOLI GIORDANO</t>
  </si>
  <si>
    <t>VENDING MARCHE S.R.L.</t>
  </si>
  <si>
    <t>RAGNI RICCARDO</t>
  </si>
  <si>
    <t>GENTILI FABRIZIO</t>
  </si>
  <si>
    <t>CARTONI MANCINELLI ALICE</t>
  </si>
  <si>
    <t>SOCIETA' AGRICOLA PONTANI ROMOLO E EZIO S.S.</t>
  </si>
  <si>
    <t>POGGI VALERIO</t>
  </si>
  <si>
    <t>ORTENZI GIOVANNI</t>
  </si>
  <si>
    <t>SERFILIPPI GALEAZZO</t>
  </si>
  <si>
    <t>BALLORIANI AMELIO</t>
  </si>
  <si>
    <t>IMPRESA AGRICOLA VITO CELESTE &amp; C.</t>
  </si>
  <si>
    <t>STAFFOLANI NICOLA</t>
  </si>
  <si>
    <t>CORRADETTI CRISTIANO</t>
  </si>
  <si>
    <t>ALOISI DINO</t>
  </si>
  <si>
    <t>BAGALINI ROBERTO</t>
  </si>
  <si>
    <t>PENNESI GIUSEPPE</t>
  </si>
  <si>
    <t>FRUTTAMI DI FABIO E BARBARA MASTROSANI</t>
  </si>
  <si>
    <t>FILONI VALENTINA CLAUDIA</t>
  </si>
  <si>
    <t>BRUSCHI ALBERTO</t>
  </si>
  <si>
    <t>CERTELLI DINO</t>
  </si>
  <si>
    <t>ANGELETTI PIETRO LORENZO</t>
  </si>
  <si>
    <t>DI SILVESTRO ITALO</t>
  </si>
  <si>
    <t>GIACCHINI MAURIZIO</t>
  </si>
  <si>
    <t>MANCINO SARA</t>
  </si>
  <si>
    <t>BURATTI ROBERTO</t>
  </si>
  <si>
    <t>FORLANI MILVA</t>
  </si>
  <si>
    <t>VILLA IMPERIUM DI GIUSEPPE COCCI GRIFONI &amp; C. SOC. AGR. SEMPLICE</t>
  </si>
  <si>
    <t>SOCIETA' AGRICOLA SCAGNETTI DI SCAGNETTI FRANCESCO E C. S.S.</t>
  </si>
  <si>
    <t>MELETTI RODOLFO</t>
  </si>
  <si>
    <t>LELLI LUCIANO</t>
  </si>
  <si>
    <t>BRATTINI FERRUCCIO</t>
  </si>
  <si>
    <t>CIAMBOTTI CATERINA</t>
  </si>
  <si>
    <t>SOCIETA'AGRICOLA LA MARCA DI SCAGNETTI FRANCESCO E C. SOC. SEMPLICE</t>
  </si>
  <si>
    <t>PANTALONI FEDERICA</t>
  </si>
  <si>
    <t>PASCUCCI FRANCO</t>
  </si>
  <si>
    <t>CAUCCI SERAFINA</t>
  </si>
  <si>
    <t>DE ANGELIS NICOLA</t>
  </si>
  <si>
    <t>SFORZA CRISTIANA</t>
  </si>
  <si>
    <t>VESPERINI EUGENIA</t>
  </si>
  <si>
    <t>SECCHIAROLI MASSIMO</t>
  </si>
  <si>
    <t>AZIENDA AGRICOLA MONTE JUNO SOCIETA' AGRICOLA</t>
  </si>
  <si>
    <t>SANTINELLI GIOVANNI</t>
  </si>
  <si>
    <t>VOLPI CATIA</t>
  </si>
  <si>
    <t>SOCIETA' AGRICOLA FRISONI DEL FURLO DI AMANTINI E BUCCI SS</t>
  </si>
  <si>
    <t>SPARVIERI LUIGINO</t>
  </si>
  <si>
    <t>MICHETTI NUNZIO SALVATORE</t>
  </si>
  <si>
    <t>BRANDINELLI LEONARDO</t>
  </si>
  <si>
    <t>NONNIS ROSSELLA</t>
  </si>
  <si>
    <t>BERARDI GIANCARLO</t>
  </si>
  <si>
    <t>PAGLIOTTI CLAUDIA</t>
  </si>
  <si>
    <t>PIGNOTTI ADAMO</t>
  </si>
  <si>
    <t>OTTAVI DESIDERIO</t>
  </si>
  <si>
    <t>LANA FRANCESCO</t>
  </si>
  <si>
    <t>AZIENDA ANTONELLI UMBERTO SOCIETA' AGRICOLA</t>
  </si>
  <si>
    <t>MERLI SALADINI ELENA</t>
  </si>
  <si>
    <t>RIMINUCCI MASSIMO</t>
  </si>
  <si>
    <t>MATTIOLI PIETRO</t>
  </si>
  <si>
    <t>VAGNARELLI ENRICO</t>
  </si>
  <si>
    <t>WADMAN AMY TAMS</t>
  </si>
  <si>
    <t>GNUCCI VALTER</t>
  </si>
  <si>
    <t>ALLEGRANZA BULHAK JELSKI MARIA SOFIA</t>
  </si>
  <si>
    <t>TOSSICI UMBERTO</t>
  </si>
  <si>
    <t>MAGI ADRIANA</t>
  </si>
  <si>
    <t>SOCIETA'AGRICOLA "MONTANARI" DI MICHETTI NUNZIO SALVATORE &amp; C.S.S</t>
  </si>
  <si>
    <t>PAOLUCCI FRANCESCA</t>
  </si>
  <si>
    <t>POGGIASPALLA SILVIA</t>
  </si>
  <si>
    <t>VALCIMARA FRANCESCA</t>
  </si>
  <si>
    <t>SOCIETA' AGRICOLA EREDI DI PIEROTTI QUINTO S.S.</t>
  </si>
  <si>
    <t>SOCIETA' AGRICOLA AGRIENERGETICA S.R.L.</t>
  </si>
  <si>
    <t>TOMASSINI GIANPIETRO</t>
  </si>
  <si>
    <t>TENUTE PIERALISI SOCIETA' A RESPONSABILITA' LIMITATA SOCIETA' AGRICOLA</t>
  </si>
  <si>
    <t>MARCELLONI PIERO</t>
  </si>
  <si>
    <t>SOCIETA' AGRICOLA LUCANGELI AYMERICH DI LACONI SOCIETA' SEMPLICE DETTA</t>
  </si>
  <si>
    <t>CROGNALETTI NATALINO</t>
  </si>
  <si>
    <t>FURIANI GABRIELLA</t>
  </si>
  <si>
    <t>PIERANGELI ANNA</t>
  </si>
  <si>
    <t>VILLA FRANCO</t>
  </si>
  <si>
    <t>MARZIALI PASQUALE</t>
  </si>
  <si>
    <t>ILLUMINATI CLAUDIO</t>
  </si>
  <si>
    <t>SISINI GIUSEPPE</t>
  </si>
  <si>
    <t>BULDRIGHINI ROBERTO</t>
  </si>
  <si>
    <t>MICHETTI MASSIMO</t>
  </si>
  <si>
    <t>ACCIARRI GIOVANNA</t>
  </si>
  <si>
    <t>MOSCONI ERNESTO</t>
  </si>
  <si>
    <t>VITTORI GIANCARLO</t>
  </si>
  <si>
    <t>VALLORANI ROBERTO</t>
  </si>
  <si>
    <t>AZIENDA AGRARIA ANTINORI MARIA E ANTINORI GRAZIELLA SOCIET? SEMPLICE S</t>
  </si>
  <si>
    <t>QUITADAMO MATTEO</t>
  </si>
  <si>
    <t>FELICI LEOPARDO</t>
  </si>
  <si>
    <t>CRUCIANI ALBERTO</t>
  </si>
  <si>
    <t>BARBIERI ARMANDO</t>
  </si>
  <si>
    <t>FANCELLO GIORGIO</t>
  </si>
  <si>
    <t>CIARIMBOLI PAOLO</t>
  </si>
  <si>
    <t>BALDINI DOMENICO</t>
  </si>
  <si>
    <t>PONTANI GIULIANO</t>
  </si>
  <si>
    <t>MURA SALVATORE</t>
  </si>
  <si>
    <t>PIETRINI GRAZIANO</t>
  </si>
  <si>
    <t>TACCONI VENANZO</t>
  </si>
  <si>
    <t>BICCARI GIANPIERO</t>
  </si>
  <si>
    <t>CHIUMENTI MARIA CRISTINA</t>
  </si>
  <si>
    <t>CAPPELLETTI GIULIANO</t>
  </si>
  <si>
    <t>GRAZIOSI GIACOMO</t>
  </si>
  <si>
    <t>CONSORZIO FLAMINIA SOC. CONS. COOP. AGRICOLO</t>
  </si>
  <si>
    <t>COLETTI GIULIANA</t>
  </si>
  <si>
    <t>MANNOCCHI GABRIELE</t>
  </si>
  <si>
    <t>I PODERI DEL POGGIO SOCIETA' AGRICOLA</t>
  </si>
  <si>
    <t>TALAMONTI GEREMIA</t>
  </si>
  <si>
    <t>CAPRIOTTI ALESSANDRO</t>
  </si>
  <si>
    <t>BILLO FARM S.R.L. - SOCIETA' AGRICOLA</t>
  </si>
  <si>
    <t>DI PAOLO ADA</t>
  </si>
  <si>
    <t>POLINI VINCENZO</t>
  </si>
  <si>
    <t>BARTOLOMEI MARCO</t>
  </si>
  <si>
    <t>CLEMENTI PIERLUIGI</t>
  </si>
  <si>
    <t>BEI-CLEMENTI IVANA</t>
  </si>
  <si>
    <t>SACCHI ANDREA</t>
  </si>
  <si>
    <t>CECCOLINI DAVIDE</t>
  </si>
  <si>
    <t>MANIZZA FEDERICA</t>
  </si>
  <si>
    <t>LE GINESTRE SAS DI CINGOLANI PAOLO E C.</t>
  </si>
  <si>
    <t>AGRICOM S.R.L.</t>
  </si>
  <si>
    <t>FERRI PIERGIORGIO</t>
  </si>
  <si>
    <t>VALOTA STEFANO</t>
  </si>
  <si>
    <t>ALESSANDRONI MARIA-PAOLA</t>
  </si>
  <si>
    <t>MANIZZA MAURIZIO</t>
  </si>
  <si>
    <t>BRUSCOLI MARIANNA</t>
  </si>
  <si>
    <t>TASSI PIETRO</t>
  </si>
  <si>
    <t>SOCIETA' AGRICOLA AZIENDE BIOLOGICHE RIUNITE MARCHE S.S.</t>
  </si>
  <si>
    <t>HENDRIKS FRANCISCUS GERARDUS ANTHONIUS</t>
  </si>
  <si>
    <t>CASTELCAVALLINO SOCIETA' AGRICOLA S.S.</t>
  </si>
  <si>
    <t>AGAMENNONI ALBERTO</t>
  </si>
  <si>
    <t>SOCIETA' AGRICOLA LE SODERE DI MOSCATELLI SEBASTIANO E ARPINI AMALIA S</t>
  </si>
  <si>
    <t>AZIENDA AGRARIA ISTITUTO TECNICO AGRARIO I.I.S.'G.GARIBALDI' MACERATA</t>
  </si>
  <si>
    <t>TOGNI GIOVANNI</t>
  </si>
  <si>
    <t>ORTO DEGLI U LIVI SOC. COOP. AGRICOLA</t>
  </si>
  <si>
    <t>SOCIETA' AGRICOLA FABRIZI VENANZO FABRIZIO E LIBERTI ENZA S.S.</t>
  </si>
  <si>
    <t>DEL BELLO DARIO</t>
  </si>
  <si>
    <t>DAMIA PACIARINI VALERIO</t>
  </si>
  <si>
    <t>AZIENDA AGRICOLA PIERUCCI DENIS E MASSIMO SOC.SEMPLICE AGRICOLA</t>
  </si>
  <si>
    <t>CESARI FORTUNATO</t>
  </si>
  <si>
    <t>SOCIETA' AGRICOLA BIOLCA SOC. SEMPLICE</t>
  </si>
  <si>
    <t>DE ANGELIS PIERFRANCESCO</t>
  </si>
  <si>
    <t>ACCIARRI BRUNO</t>
  </si>
  <si>
    <t>LESTI ANTONELLO</t>
  </si>
  <si>
    <t>NARDI CARLO</t>
  </si>
  <si>
    <t>PIERUCCI DARIO</t>
  </si>
  <si>
    <t>AGRICOLA PAGNONI DI BRUSCOLI ORNELLA &amp; C. SNC</t>
  </si>
  <si>
    <t>MOGNON FLORIANO</t>
  </si>
  <si>
    <t>MARINELLI ELISA</t>
  </si>
  <si>
    <t>FIORONI FRANCO</t>
  </si>
  <si>
    <t>CACCIAMANI GABRIELE</t>
  </si>
  <si>
    <t>SOCIETA' AGRICOLA CA' LA MONACA S.S.</t>
  </si>
  <si>
    <t>LENZI RICCARDO</t>
  </si>
  <si>
    <t>RAVASIO LUCA</t>
  </si>
  <si>
    <t>ANTOLINI FRANCESCA ANNALISA</t>
  </si>
  <si>
    <t>PASCUCCI FELICIA</t>
  </si>
  <si>
    <t>JANSTA SVATOPLUK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</si>
</sst>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75"/>
  <sheetViews>
    <sheetView showGridLines="0" tabSelected="1" workbookViewId="0"/>
  </sheetViews>
  <sheetFormatPr defaultRowHeight="15"/>
  <cols>
    <col min="1" max="1" width="15.5703125" style="1" bestFit="1" customWidth="1"/>
    <col min="2" max="2" width="16.28515625" style="1" bestFit="1" customWidth="1"/>
    <col min="3" max="3" width="8" style="1" bestFit="1" customWidth="1"/>
    <col min="4" max="4" width="36.5703125" style="1" bestFit="1" customWidth="1"/>
    <col min="5" max="5" width="32.42578125" style="1" bestFit="1" customWidth="1"/>
    <col min="6" max="6" width="36.4257812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0.14062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3.140625" style="1" bestFit="1" customWidth="1"/>
    <col min="16" max="16" width="23" style="1" bestFit="1" customWidth="1"/>
    <col min="17" max="17" width="16.28515625" style="1" bestFit="1" customWidth="1"/>
    <col min="18" max="18" width="17.85546875" style="1" bestFit="1" customWidth="1"/>
    <col min="19" max="19" width="20.28515625" style="1" bestFit="1" customWidth="1"/>
    <col min="20" max="20" width="18.42578125" style="1" bestFit="1" customWidth="1"/>
    <col min="21" max="21" width="24.5703125" style="1" bestFit="1" customWidth="1"/>
    <col min="22" max="23" width="27.140625" style="1" bestFit="1" customWidth="1"/>
    <col min="24" max="16384" width="9.140625" style="1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72.75">
      <c r="A2" s="3" t="s">
        <v>23</v>
      </c>
      <c r="B2" s="3" t="s">
        <v>24</v>
      </c>
      <c r="C2" s="3" t="s">
        <v>35</v>
      </c>
      <c r="D2" s="3" t="s">
        <v>36</v>
      </c>
      <c r="E2" s="3" t="s">
        <v>30</v>
      </c>
      <c r="F2" s="3" t="s">
        <v>37</v>
      </c>
      <c r="G2" s="3">
        <v>2016</v>
      </c>
      <c r="H2" s="3" t="str">
        <f>CONCATENATE("64240612537")</f>
        <v>64240612537</v>
      </c>
      <c r="I2" s="3" t="s">
        <v>31</v>
      </c>
      <c r="J2" s="3" t="s">
        <v>26</v>
      </c>
      <c r="K2" s="3" t="str">
        <f t="shared" ref="K2:K13" si="0">CONCATENATE("")</f>
        <v/>
      </c>
      <c r="L2" s="3" t="str">
        <f>CONCATENATE("10 10.1 4b")</f>
        <v>10 10.1 4b</v>
      </c>
      <c r="M2" s="3" t="str">
        <f>CONCATENATE("CCHVCN60R28G516M")</f>
        <v>CCHVCN60R28G516M</v>
      </c>
      <c r="N2" s="3" t="s">
        <v>38</v>
      </c>
      <c r="O2" s="3"/>
      <c r="P2" s="4">
        <v>42783</v>
      </c>
      <c r="Q2" s="3" t="s">
        <v>27</v>
      </c>
      <c r="R2" s="3" t="s">
        <v>28</v>
      </c>
      <c r="S2" s="3" t="s">
        <v>29</v>
      </c>
      <c r="T2" s="5">
        <v>3405.65</v>
      </c>
      <c r="U2" s="5">
        <v>1468.52</v>
      </c>
      <c r="V2" s="5">
        <v>1356.13</v>
      </c>
      <c r="W2" s="3">
        <v>581</v>
      </c>
    </row>
    <row r="3" spans="1:23" ht="36.75">
      <c r="A3" s="3" t="s">
        <v>23</v>
      </c>
      <c r="B3" s="3" t="s">
        <v>24</v>
      </c>
      <c r="C3" s="3" t="s">
        <v>35</v>
      </c>
      <c r="D3" s="3" t="s">
        <v>39</v>
      </c>
      <c r="E3" s="3" t="s">
        <v>30</v>
      </c>
      <c r="F3" s="3" t="s">
        <v>40</v>
      </c>
      <c r="G3" s="3">
        <v>2016</v>
      </c>
      <c r="H3" s="3" t="str">
        <f>CONCATENATE("64240884680")</f>
        <v>64240884680</v>
      </c>
      <c r="I3" s="3" t="s">
        <v>25</v>
      </c>
      <c r="J3" s="3" t="s">
        <v>26</v>
      </c>
      <c r="K3" s="3" t="str">
        <f t="shared" si="0"/>
        <v/>
      </c>
      <c r="L3" s="3" t="str">
        <f>CONCATENATE("10 10.1 4a")</f>
        <v>10 10.1 4a</v>
      </c>
      <c r="M3" s="3" t="str">
        <f>CONCATENATE("01132520428")</f>
        <v>01132520428</v>
      </c>
      <c r="N3" s="3" t="s">
        <v>41</v>
      </c>
      <c r="O3" s="3"/>
      <c r="P3" s="4">
        <v>42783</v>
      </c>
      <c r="Q3" s="3" t="s">
        <v>27</v>
      </c>
      <c r="R3" s="3" t="s">
        <v>28</v>
      </c>
      <c r="S3" s="3" t="s">
        <v>29</v>
      </c>
      <c r="T3" s="3">
        <v>196.69</v>
      </c>
      <c r="U3" s="3">
        <v>84.81</v>
      </c>
      <c r="V3" s="3">
        <v>78.319999999999993</v>
      </c>
      <c r="W3" s="3">
        <v>33.56</v>
      </c>
    </row>
    <row r="4" spans="1:23" ht="60.75">
      <c r="A4" s="3" t="s">
        <v>23</v>
      </c>
      <c r="B4" s="3" t="s">
        <v>24</v>
      </c>
      <c r="C4" s="3" t="s">
        <v>35</v>
      </c>
      <c r="D4" s="3" t="s">
        <v>43</v>
      </c>
      <c r="E4" s="3" t="s">
        <v>32</v>
      </c>
      <c r="F4" s="3" t="s">
        <v>44</v>
      </c>
      <c r="G4" s="3">
        <v>2016</v>
      </c>
      <c r="H4" s="3" t="str">
        <f>CONCATENATE("64240583423")</f>
        <v>64240583423</v>
      </c>
      <c r="I4" s="3" t="s">
        <v>25</v>
      </c>
      <c r="J4" s="3" t="s">
        <v>26</v>
      </c>
      <c r="K4" s="3" t="str">
        <f t="shared" si="0"/>
        <v/>
      </c>
      <c r="L4" s="3" t="str">
        <f>CONCATENATE("11 11.1 4b")</f>
        <v>11 11.1 4b</v>
      </c>
      <c r="M4" s="3" t="str">
        <f>CONCATENATE("PTRPLA51R55E351B")</f>
        <v>PTRPLA51R55E351B</v>
      </c>
      <c r="N4" s="3" t="s">
        <v>45</v>
      </c>
      <c r="O4" s="3"/>
      <c r="P4" s="4">
        <v>42783</v>
      </c>
      <c r="Q4" s="3" t="s">
        <v>27</v>
      </c>
      <c r="R4" s="3" t="s">
        <v>28</v>
      </c>
      <c r="S4" s="3" t="s">
        <v>29</v>
      </c>
      <c r="T4" s="3">
        <v>570.78</v>
      </c>
      <c r="U4" s="3">
        <v>246.12</v>
      </c>
      <c r="V4" s="3">
        <v>227.28</v>
      </c>
      <c r="W4" s="3">
        <v>97.38</v>
      </c>
    </row>
    <row r="5" spans="1:23" ht="72.75">
      <c r="A5" s="3" t="s">
        <v>23</v>
      </c>
      <c r="B5" s="3" t="s">
        <v>24</v>
      </c>
      <c r="C5" s="3" t="s">
        <v>35</v>
      </c>
      <c r="D5" s="3" t="s">
        <v>43</v>
      </c>
      <c r="E5" s="3" t="s">
        <v>33</v>
      </c>
      <c r="F5" s="3" t="s">
        <v>46</v>
      </c>
      <c r="G5" s="3">
        <v>2016</v>
      </c>
      <c r="H5" s="3" t="str">
        <f>CONCATENATE("64240708319")</f>
        <v>64240708319</v>
      </c>
      <c r="I5" s="3" t="s">
        <v>25</v>
      </c>
      <c r="J5" s="3" t="s">
        <v>26</v>
      </c>
      <c r="K5" s="3" t="str">
        <f t="shared" si="0"/>
        <v/>
      </c>
      <c r="L5" s="3" t="str">
        <f>CONCATENATE("11 11.1 4b")</f>
        <v>11 11.1 4b</v>
      </c>
      <c r="M5" s="3" t="str">
        <f>CONCATENATE("DTLNDR80A02D488B")</f>
        <v>DTLNDR80A02D488B</v>
      </c>
      <c r="N5" s="3" t="s">
        <v>47</v>
      </c>
      <c r="O5" s="3"/>
      <c r="P5" s="4">
        <v>42783</v>
      </c>
      <c r="Q5" s="3" t="s">
        <v>27</v>
      </c>
      <c r="R5" s="3" t="s">
        <v>28</v>
      </c>
      <c r="S5" s="3" t="s">
        <v>29</v>
      </c>
      <c r="T5" s="5">
        <v>1042.97</v>
      </c>
      <c r="U5" s="3">
        <v>449.73</v>
      </c>
      <c r="V5" s="3">
        <v>415.31</v>
      </c>
      <c r="W5" s="3">
        <v>177.93</v>
      </c>
    </row>
    <row r="6" spans="1:23" ht="60.75">
      <c r="A6" s="3" t="s">
        <v>23</v>
      </c>
      <c r="B6" s="3" t="s">
        <v>24</v>
      </c>
      <c r="C6" s="3" t="s">
        <v>35</v>
      </c>
      <c r="D6" s="3" t="s">
        <v>48</v>
      </c>
      <c r="E6" s="3" t="s">
        <v>49</v>
      </c>
      <c r="F6" s="3" t="s">
        <v>50</v>
      </c>
      <c r="G6" s="3">
        <v>2016</v>
      </c>
      <c r="H6" s="3" t="str">
        <f>CONCATENATE("64240350559")</f>
        <v>64240350559</v>
      </c>
      <c r="I6" s="3" t="s">
        <v>25</v>
      </c>
      <c r="J6" s="3" t="s">
        <v>26</v>
      </c>
      <c r="K6" s="3" t="str">
        <f t="shared" si="0"/>
        <v/>
      </c>
      <c r="L6" s="3" t="str">
        <f t="shared" ref="L6:L12" si="1">CONCATENATE("11 11.2 4b")</f>
        <v>11 11.2 4b</v>
      </c>
      <c r="M6" s="3" t="str">
        <f>CONCATENATE("TSTMNL83S02I156A")</f>
        <v>TSTMNL83S02I156A</v>
      </c>
      <c r="N6" s="3" t="s">
        <v>51</v>
      </c>
      <c r="O6" s="3"/>
      <c r="P6" s="4">
        <v>42783</v>
      </c>
      <c r="Q6" s="3" t="s">
        <v>27</v>
      </c>
      <c r="R6" s="3" t="s">
        <v>28</v>
      </c>
      <c r="S6" s="3" t="s">
        <v>29</v>
      </c>
      <c r="T6" s="5">
        <v>7878.49</v>
      </c>
      <c r="U6" s="5">
        <v>3397.2</v>
      </c>
      <c r="V6" s="5">
        <v>3137.21</v>
      </c>
      <c r="W6" s="5">
        <v>1344.08</v>
      </c>
    </row>
    <row r="7" spans="1:23" ht="60.75">
      <c r="A7" s="3" t="s">
        <v>23</v>
      </c>
      <c r="B7" s="3" t="s">
        <v>24</v>
      </c>
      <c r="C7" s="3" t="s">
        <v>35</v>
      </c>
      <c r="D7" s="3" t="s">
        <v>36</v>
      </c>
      <c r="E7" s="3" t="s">
        <v>30</v>
      </c>
      <c r="F7" s="3" t="s">
        <v>53</v>
      </c>
      <c r="G7" s="3">
        <v>2016</v>
      </c>
      <c r="H7" s="3" t="str">
        <f>CONCATENATE("64240875670")</f>
        <v>64240875670</v>
      </c>
      <c r="I7" s="3" t="s">
        <v>25</v>
      </c>
      <c r="J7" s="3" t="s">
        <v>26</v>
      </c>
      <c r="K7" s="3" t="str">
        <f t="shared" si="0"/>
        <v/>
      </c>
      <c r="L7" s="3" t="str">
        <f t="shared" si="1"/>
        <v>11 11.2 4b</v>
      </c>
      <c r="M7" s="3" t="str">
        <f>CONCATENATE("MCZVCN49M26B534F")</f>
        <v>MCZVCN49M26B534F</v>
      </c>
      <c r="N7" s="3" t="s">
        <v>54</v>
      </c>
      <c r="O7" s="3"/>
      <c r="P7" s="4">
        <v>42783</v>
      </c>
      <c r="Q7" s="3" t="s">
        <v>27</v>
      </c>
      <c r="R7" s="3" t="s">
        <v>28</v>
      </c>
      <c r="S7" s="3" t="s">
        <v>29</v>
      </c>
      <c r="T7" s="5">
        <v>5209.84</v>
      </c>
      <c r="U7" s="5">
        <v>2246.48</v>
      </c>
      <c r="V7" s="5">
        <v>2074.56</v>
      </c>
      <c r="W7" s="3">
        <v>888.8</v>
      </c>
    </row>
    <row r="8" spans="1:23" ht="72.75">
      <c r="A8" s="3" t="s">
        <v>23</v>
      </c>
      <c r="B8" s="3" t="s">
        <v>24</v>
      </c>
      <c r="C8" s="3" t="s">
        <v>35</v>
      </c>
      <c r="D8" s="3" t="s">
        <v>48</v>
      </c>
      <c r="E8" s="3" t="s">
        <v>30</v>
      </c>
      <c r="F8" s="3" t="s">
        <v>55</v>
      </c>
      <c r="G8" s="3">
        <v>2016</v>
      </c>
      <c r="H8" s="3" t="str">
        <f>CONCATENATE("64240282281")</f>
        <v>64240282281</v>
      </c>
      <c r="I8" s="3" t="s">
        <v>25</v>
      </c>
      <c r="J8" s="3" t="s">
        <v>26</v>
      </c>
      <c r="K8" s="3" t="str">
        <f t="shared" si="0"/>
        <v/>
      </c>
      <c r="L8" s="3" t="str">
        <f t="shared" si="1"/>
        <v>11 11.2 4b</v>
      </c>
      <c r="M8" s="3" t="str">
        <f>CONCATENATE("RMDMRA66M03L501N")</f>
        <v>RMDMRA66M03L501N</v>
      </c>
      <c r="N8" s="3" t="s">
        <v>56</v>
      </c>
      <c r="O8" s="3"/>
      <c r="P8" s="4">
        <v>42783</v>
      </c>
      <c r="Q8" s="3" t="s">
        <v>27</v>
      </c>
      <c r="R8" s="3" t="s">
        <v>28</v>
      </c>
      <c r="S8" s="3" t="s">
        <v>29</v>
      </c>
      <c r="T8" s="5">
        <v>18798.82</v>
      </c>
      <c r="U8" s="5">
        <v>8106.05</v>
      </c>
      <c r="V8" s="5">
        <v>7485.69</v>
      </c>
      <c r="W8" s="5">
        <v>3207.08</v>
      </c>
    </row>
    <row r="9" spans="1:23" ht="60.75">
      <c r="A9" s="3" t="s">
        <v>23</v>
      </c>
      <c r="B9" s="3" t="s">
        <v>24</v>
      </c>
      <c r="C9" s="3" t="s">
        <v>35</v>
      </c>
      <c r="D9" s="3" t="s">
        <v>48</v>
      </c>
      <c r="E9" s="3" t="s">
        <v>30</v>
      </c>
      <c r="F9" s="3" t="s">
        <v>57</v>
      </c>
      <c r="G9" s="3">
        <v>2016</v>
      </c>
      <c r="H9" s="3" t="str">
        <f>CONCATENATE("64240545331")</f>
        <v>64240545331</v>
      </c>
      <c r="I9" s="3" t="s">
        <v>25</v>
      </c>
      <c r="J9" s="3" t="s">
        <v>26</v>
      </c>
      <c r="K9" s="3" t="str">
        <f t="shared" si="0"/>
        <v/>
      </c>
      <c r="L9" s="3" t="str">
        <f t="shared" si="1"/>
        <v>11 11.2 4b</v>
      </c>
      <c r="M9" s="3" t="str">
        <f>CONCATENATE("PNZTRS46L61F839B")</f>
        <v>PNZTRS46L61F839B</v>
      </c>
      <c r="N9" s="3" t="s">
        <v>58</v>
      </c>
      <c r="O9" s="3"/>
      <c r="P9" s="4">
        <v>42783</v>
      </c>
      <c r="Q9" s="3" t="s">
        <v>27</v>
      </c>
      <c r="R9" s="3" t="s">
        <v>28</v>
      </c>
      <c r="S9" s="3" t="s">
        <v>29</v>
      </c>
      <c r="T9" s="5">
        <v>2766.28</v>
      </c>
      <c r="U9" s="5">
        <v>1192.82</v>
      </c>
      <c r="V9" s="5">
        <v>1101.53</v>
      </c>
      <c r="W9" s="3">
        <v>471.93</v>
      </c>
    </row>
    <row r="10" spans="1:23" ht="60.75">
      <c r="A10" s="3" t="s">
        <v>23</v>
      </c>
      <c r="B10" s="3" t="s">
        <v>24</v>
      </c>
      <c r="C10" s="3" t="s">
        <v>35</v>
      </c>
      <c r="D10" s="3" t="s">
        <v>48</v>
      </c>
      <c r="E10" s="3" t="s">
        <v>49</v>
      </c>
      <c r="F10" s="3" t="s">
        <v>50</v>
      </c>
      <c r="G10" s="3">
        <v>2016</v>
      </c>
      <c r="H10" s="3" t="str">
        <f>CONCATENATE("64240360046")</f>
        <v>64240360046</v>
      </c>
      <c r="I10" s="3" t="s">
        <v>25</v>
      </c>
      <c r="J10" s="3" t="s">
        <v>26</v>
      </c>
      <c r="K10" s="3" t="str">
        <f t="shared" si="0"/>
        <v/>
      </c>
      <c r="L10" s="3" t="str">
        <f t="shared" si="1"/>
        <v>11 11.2 4b</v>
      </c>
      <c r="M10" s="3" t="str">
        <f>CONCATENATE("VCRLBT69C58L191T")</f>
        <v>VCRLBT69C58L191T</v>
      </c>
      <c r="N10" s="3" t="s">
        <v>60</v>
      </c>
      <c r="O10" s="3"/>
      <c r="P10" s="4">
        <v>42783</v>
      </c>
      <c r="Q10" s="3" t="s">
        <v>27</v>
      </c>
      <c r="R10" s="3" t="s">
        <v>28</v>
      </c>
      <c r="S10" s="3" t="s">
        <v>29</v>
      </c>
      <c r="T10" s="5">
        <v>5676.54</v>
      </c>
      <c r="U10" s="5">
        <v>2447.7199999999998</v>
      </c>
      <c r="V10" s="5">
        <v>2260.4</v>
      </c>
      <c r="W10" s="3">
        <v>968.42</v>
      </c>
    </row>
    <row r="11" spans="1:23" ht="36.75">
      <c r="A11" s="3" t="s">
        <v>23</v>
      </c>
      <c r="B11" s="3" t="s">
        <v>24</v>
      </c>
      <c r="C11" s="3" t="s">
        <v>35</v>
      </c>
      <c r="D11" s="3" t="s">
        <v>36</v>
      </c>
      <c r="E11" s="3" t="s">
        <v>59</v>
      </c>
      <c r="F11" s="3" t="s">
        <v>62</v>
      </c>
      <c r="G11" s="3">
        <v>2016</v>
      </c>
      <c r="H11" s="3" t="str">
        <f>CONCATENATE("64240214839")</f>
        <v>64240214839</v>
      </c>
      <c r="I11" s="3" t="s">
        <v>25</v>
      </c>
      <c r="J11" s="3" t="s">
        <v>26</v>
      </c>
      <c r="K11" s="3" t="str">
        <f t="shared" si="0"/>
        <v/>
      </c>
      <c r="L11" s="3" t="str">
        <f t="shared" si="1"/>
        <v>11 11.2 4b</v>
      </c>
      <c r="M11" s="3" t="str">
        <f>CONCATENATE("01911460440")</f>
        <v>01911460440</v>
      </c>
      <c r="N11" s="3" t="s">
        <v>63</v>
      </c>
      <c r="O11" s="3"/>
      <c r="P11" s="4">
        <v>42783</v>
      </c>
      <c r="Q11" s="3" t="s">
        <v>27</v>
      </c>
      <c r="R11" s="3" t="s">
        <v>28</v>
      </c>
      <c r="S11" s="3" t="s">
        <v>29</v>
      </c>
      <c r="T11" s="5">
        <v>4169.53</v>
      </c>
      <c r="U11" s="5">
        <v>1797.9</v>
      </c>
      <c r="V11" s="5">
        <v>1660.31</v>
      </c>
      <c r="W11" s="3">
        <v>711.32</v>
      </c>
    </row>
    <row r="12" spans="1:23" ht="36.75">
      <c r="A12" s="3" t="s">
        <v>23</v>
      </c>
      <c r="B12" s="3" t="s">
        <v>24</v>
      </c>
      <c r="C12" s="3" t="s">
        <v>35</v>
      </c>
      <c r="D12" s="3" t="s">
        <v>36</v>
      </c>
      <c r="E12" s="3" t="s">
        <v>42</v>
      </c>
      <c r="F12" s="3" t="s">
        <v>42</v>
      </c>
      <c r="G12" s="3">
        <v>2016</v>
      </c>
      <c r="H12" s="3" t="str">
        <f>CONCATENATE("64240648598")</f>
        <v>64240648598</v>
      </c>
      <c r="I12" s="3" t="s">
        <v>25</v>
      </c>
      <c r="J12" s="3" t="s">
        <v>26</v>
      </c>
      <c r="K12" s="3" t="str">
        <f t="shared" si="0"/>
        <v/>
      </c>
      <c r="L12" s="3" t="str">
        <f t="shared" si="1"/>
        <v>11 11.2 4b</v>
      </c>
      <c r="M12" s="3" t="str">
        <f>CONCATENATE("01574540439")</f>
        <v>01574540439</v>
      </c>
      <c r="N12" s="3" t="s">
        <v>64</v>
      </c>
      <c r="O12" s="3"/>
      <c r="P12" s="4">
        <v>42783</v>
      </c>
      <c r="Q12" s="3" t="s">
        <v>27</v>
      </c>
      <c r="R12" s="3" t="s">
        <v>28</v>
      </c>
      <c r="S12" s="3" t="s">
        <v>29</v>
      </c>
      <c r="T12" s="5">
        <v>15255.18</v>
      </c>
      <c r="U12" s="5">
        <v>6578.03</v>
      </c>
      <c r="V12" s="5">
        <v>6074.61</v>
      </c>
      <c r="W12" s="5">
        <v>2602.54</v>
      </c>
    </row>
    <row r="13" spans="1:23" ht="60.75">
      <c r="A13" s="3" t="s">
        <v>23</v>
      </c>
      <c r="B13" s="3" t="s">
        <v>24</v>
      </c>
      <c r="C13" s="3" t="s">
        <v>35</v>
      </c>
      <c r="D13" s="3" t="s">
        <v>36</v>
      </c>
      <c r="E13" s="3" t="s">
        <v>32</v>
      </c>
      <c r="F13" s="3" t="s">
        <v>65</v>
      </c>
      <c r="G13" s="3">
        <v>2016</v>
      </c>
      <c r="H13" s="3" t="str">
        <f>CONCATENATE("64240592176")</f>
        <v>64240592176</v>
      </c>
      <c r="I13" s="3" t="s">
        <v>25</v>
      </c>
      <c r="J13" s="3" t="s">
        <v>26</v>
      </c>
      <c r="K13" s="3" t="str">
        <f t="shared" si="0"/>
        <v/>
      </c>
      <c r="L13" s="3" t="str">
        <f>CONCATENATE("11 11.1 4b")</f>
        <v>11 11.1 4b</v>
      </c>
      <c r="M13" s="3" t="str">
        <f>CONCATENATE("ZNTNDR91D10M089E")</f>
        <v>ZNTNDR91D10M089E</v>
      </c>
      <c r="N13" s="3" t="s">
        <v>66</v>
      </c>
      <c r="O13" s="3"/>
      <c r="P13" s="4">
        <v>42783</v>
      </c>
      <c r="Q13" s="3" t="s">
        <v>27</v>
      </c>
      <c r="R13" s="3" t="s">
        <v>28</v>
      </c>
      <c r="S13" s="3" t="s">
        <v>29</v>
      </c>
      <c r="T13" s="5">
        <v>8786.43</v>
      </c>
      <c r="U13" s="5">
        <v>3788.71</v>
      </c>
      <c r="V13" s="5">
        <v>3498.76</v>
      </c>
      <c r="W13" s="5">
        <v>1498.96</v>
      </c>
    </row>
    <row r="14" spans="1:23" ht="60.75">
      <c r="A14" s="3" t="s">
        <v>23</v>
      </c>
      <c r="B14" s="3" t="s">
        <v>24</v>
      </c>
      <c r="C14" s="3" t="s">
        <v>35</v>
      </c>
      <c r="D14" s="3" t="s">
        <v>36</v>
      </c>
      <c r="E14" s="3" t="s">
        <v>30</v>
      </c>
      <c r="F14" s="3" t="s">
        <v>67</v>
      </c>
      <c r="G14" s="3">
        <v>2016</v>
      </c>
      <c r="H14" s="3" t="str">
        <f>CONCATENATE("64240357042")</f>
        <v>64240357042</v>
      </c>
      <c r="I14" s="3" t="s">
        <v>25</v>
      </c>
      <c r="J14" s="3" t="s">
        <v>26</v>
      </c>
      <c r="K14" s="3" t="str">
        <f t="shared" ref="K14:K45" si="2">CONCATENATE("")</f>
        <v/>
      </c>
      <c r="L14" s="3" t="str">
        <f>CONCATENATE("11 11.2 4b")</f>
        <v>11 11.2 4b</v>
      </c>
      <c r="M14" s="3" t="str">
        <f>CONCATENATE("CNTMRA44C50F493C")</f>
        <v>CNTMRA44C50F493C</v>
      </c>
      <c r="N14" s="3" t="s">
        <v>68</v>
      </c>
      <c r="O14" s="3"/>
      <c r="P14" s="4">
        <v>42783</v>
      </c>
      <c r="Q14" s="3" t="s">
        <v>27</v>
      </c>
      <c r="R14" s="3" t="s">
        <v>28</v>
      </c>
      <c r="S14" s="3" t="s">
        <v>29</v>
      </c>
      <c r="T14" s="5">
        <v>5992.26</v>
      </c>
      <c r="U14" s="5">
        <v>2583.86</v>
      </c>
      <c r="V14" s="5">
        <v>2386.12</v>
      </c>
      <c r="W14" s="5">
        <v>1022.28</v>
      </c>
    </row>
    <row r="15" spans="1:23" ht="60.75">
      <c r="A15" s="3" t="s">
        <v>23</v>
      </c>
      <c r="B15" s="3" t="s">
        <v>24</v>
      </c>
      <c r="C15" s="3" t="s">
        <v>35</v>
      </c>
      <c r="D15" s="3" t="s">
        <v>39</v>
      </c>
      <c r="E15" s="3" t="s">
        <v>32</v>
      </c>
      <c r="F15" s="3" t="s">
        <v>69</v>
      </c>
      <c r="G15" s="3">
        <v>2016</v>
      </c>
      <c r="H15" s="3" t="str">
        <f>CONCATENATE("64240498234")</f>
        <v>64240498234</v>
      </c>
      <c r="I15" s="3" t="s">
        <v>25</v>
      </c>
      <c r="J15" s="3" t="s">
        <v>26</v>
      </c>
      <c r="K15" s="3" t="str">
        <f t="shared" si="2"/>
        <v/>
      </c>
      <c r="L15" s="3" t="str">
        <f>CONCATENATE("11 11.1 4b")</f>
        <v>11 11.1 4b</v>
      </c>
      <c r="M15" s="3" t="str">
        <f>CONCATENATE("PRRGCR73H22E388I")</f>
        <v>PRRGCR73H22E388I</v>
      </c>
      <c r="N15" s="3" t="s">
        <v>70</v>
      </c>
      <c r="O15" s="3"/>
      <c r="P15" s="4">
        <v>42783</v>
      </c>
      <c r="Q15" s="3" t="s">
        <v>27</v>
      </c>
      <c r="R15" s="3" t="s">
        <v>28</v>
      </c>
      <c r="S15" s="3" t="s">
        <v>29</v>
      </c>
      <c r="T15" s="5">
        <v>3763.16</v>
      </c>
      <c r="U15" s="5">
        <v>1622.67</v>
      </c>
      <c r="V15" s="5">
        <v>1498.49</v>
      </c>
      <c r="W15" s="3">
        <v>642</v>
      </c>
    </row>
    <row r="16" spans="1:23" ht="60.75">
      <c r="A16" s="3" t="s">
        <v>23</v>
      </c>
      <c r="B16" s="3" t="s">
        <v>24</v>
      </c>
      <c r="C16" s="3" t="s">
        <v>35</v>
      </c>
      <c r="D16" s="3" t="s">
        <v>48</v>
      </c>
      <c r="E16" s="3" t="s">
        <v>30</v>
      </c>
      <c r="F16" s="3" t="s">
        <v>55</v>
      </c>
      <c r="G16" s="3">
        <v>2016</v>
      </c>
      <c r="H16" s="3" t="str">
        <f>CONCATENATE("64240887758")</f>
        <v>64240887758</v>
      </c>
      <c r="I16" s="3" t="s">
        <v>25</v>
      </c>
      <c r="J16" s="3" t="s">
        <v>26</v>
      </c>
      <c r="K16" s="3" t="str">
        <f t="shared" si="2"/>
        <v/>
      </c>
      <c r="L16" s="3" t="str">
        <f>CONCATENATE("11 11.2 4b")</f>
        <v>11 11.2 4b</v>
      </c>
      <c r="M16" s="3" t="str">
        <f>CONCATENATE("GRNLGU62S29E783E")</f>
        <v>GRNLGU62S29E783E</v>
      </c>
      <c r="N16" s="3" t="s">
        <v>71</v>
      </c>
      <c r="O16" s="3"/>
      <c r="P16" s="4">
        <v>42783</v>
      </c>
      <c r="Q16" s="3" t="s">
        <v>27</v>
      </c>
      <c r="R16" s="3" t="s">
        <v>28</v>
      </c>
      <c r="S16" s="3" t="s">
        <v>29</v>
      </c>
      <c r="T16" s="5">
        <v>4597.99</v>
      </c>
      <c r="U16" s="5">
        <v>1982.65</v>
      </c>
      <c r="V16" s="5">
        <v>1830.92</v>
      </c>
      <c r="W16" s="3">
        <v>784.42</v>
      </c>
    </row>
    <row r="17" spans="1:23" ht="60.75">
      <c r="A17" s="3" t="s">
        <v>23</v>
      </c>
      <c r="B17" s="3" t="s">
        <v>24</v>
      </c>
      <c r="C17" s="3" t="s">
        <v>35</v>
      </c>
      <c r="D17" s="3" t="s">
        <v>39</v>
      </c>
      <c r="E17" s="3" t="s">
        <v>30</v>
      </c>
      <c r="F17" s="3" t="s">
        <v>72</v>
      </c>
      <c r="G17" s="3">
        <v>2016</v>
      </c>
      <c r="H17" s="3" t="str">
        <f>CONCATENATE("64240367256")</f>
        <v>64240367256</v>
      </c>
      <c r="I17" s="3" t="s">
        <v>25</v>
      </c>
      <c r="J17" s="3" t="s">
        <v>26</v>
      </c>
      <c r="K17" s="3" t="str">
        <f t="shared" si="2"/>
        <v/>
      </c>
      <c r="L17" s="3" t="str">
        <f>CONCATENATE("11 11.2 4b")</f>
        <v>11 11.2 4b</v>
      </c>
      <c r="M17" s="3" t="str">
        <f>CONCATENATE("PLNRFL66B43A271P")</f>
        <v>PLNRFL66B43A271P</v>
      </c>
      <c r="N17" s="3" t="s">
        <v>73</v>
      </c>
      <c r="O17" s="3"/>
      <c r="P17" s="4">
        <v>42783</v>
      </c>
      <c r="Q17" s="3" t="s">
        <v>27</v>
      </c>
      <c r="R17" s="3" t="s">
        <v>28</v>
      </c>
      <c r="S17" s="3" t="s">
        <v>29</v>
      </c>
      <c r="T17" s="5">
        <v>1061.1099999999999</v>
      </c>
      <c r="U17" s="3">
        <v>457.55</v>
      </c>
      <c r="V17" s="3">
        <v>422.53</v>
      </c>
      <c r="W17" s="3">
        <v>181.03</v>
      </c>
    </row>
    <row r="18" spans="1:23" ht="60.75">
      <c r="A18" s="3" t="s">
        <v>23</v>
      </c>
      <c r="B18" s="3" t="s">
        <v>24</v>
      </c>
      <c r="C18" s="3" t="s">
        <v>35</v>
      </c>
      <c r="D18" s="3" t="s">
        <v>48</v>
      </c>
      <c r="E18" s="3" t="s">
        <v>49</v>
      </c>
      <c r="F18" s="3" t="s">
        <v>74</v>
      </c>
      <c r="G18" s="3">
        <v>2016</v>
      </c>
      <c r="H18" s="3" t="str">
        <f>CONCATENATE("64210616930")</f>
        <v>64210616930</v>
      </c>
      <c r="I18" s="3" t="s">
        <v>25</v>
      </c>
      <c r="J18" s="3" t="s">
        <v>26</v>
      </c>
      <c r="K18" s="3" t="str">
        <f t="shared" si="2"/>
        <v/>
      </c>
      <c r="L18" s="3" t="str">
        <f>CONCATENATE("13 13.1 4a")</f>
        <v>13 13.1 4a</v>
      </c>
      <c r="M18" s="3" t="str">
        <f>CONCATENATE("BTKZNP78S49Z148J")</f>
        <v>BTKZNP78S49Z148J</v>
      </c>
      <c r="N18" s="3" t="s">
        <v>75</v>
      </c>
      <c r="O18" s="3"/>
      <c r="P18" s="4">
        <v>42783</v>
      </c>
      <c r="Q18" s="3" t="s">
        <v>27</v>
      </c>
      <c r="R18" s="3" t="s">
        <v>28</v>
      </c>
      <c r="S18" s="3" t="s">
        <v>29</v>
      </c>
      <c r="T18" s="5">
        <v>1830.87</v>
      </c>
      <c r="U18" s="3">
        <v>789.47</v>
      </c>
      <c r="V18" s="3">
        <v>729.05</v>
      </c>
      <c r="W18" s="3">
        <v>312.35000000000002</v>
      </c>
    </row>
    <row r="19" spans="1:23" ht="60.75">
      <c r="A19" s="3" t="s">
        <v>23</v>
      </c>
      <c r="B19" s="3" t="s">
        <v>24</v>
      </c>
      <c r="C19" s="3" t="s">
        <v>35</v>
      </c>
      <c r="D19" s="3" t="s">
        <v>43</v>
      </c>
      <c r="E19" s="3" t="s">
        <v>30</v>
      </c>
      <c r="F19" s="3" t="s">
        <v>76</v>
      </c>
      <c r="G19" s="3">
        <v>2016</v>
      </c>
      <c r="H19" s="3" t="str">
        <f>CONCATENATE("64210123283")</f>
        <v>64210123283</v>
      </c>
      <c r="I19" s="3" t="s">
        <v>25</v>
      </c>
      <c r="J19" s="3" t="s">
        <v>26</v>
      </c>
      <c r="K19" s="3" t="str">
        <f t="shared" si="2"/>
        <v/>
      </c>
      <c r="L19" s="3" t="str">
        <f>CONCATENATE("13 13.1 4a")</f>
        <v>13 13.1 4a</v>
      </c>
      <c r="M19" s="3" t="str">
        <f>CONCATENATE("GVGSFN62D18E785Z")</f>
        <v>GVGSFN62D18E785Z</v>
      </c>
      <c r="N19" s="3" t="s">
        <v>77</v>
      </c>
      <c r="O19" s="3"/>
      <c r="P19" s="4">
        <v>42783</v>
      </c>
      <c r="Q19" s="3" t="s">
        <v>27</v>
      </c>
      <c r="R19" s="3" t="s">
        <v>28</v>
      </c>
      <c r="S19" s="3" t="s">
        <v>29</v>
      </c>
      <c r="T19" s="5">
        <v>3599.33</v>
      </c>
      <c r="U19" s="5">
        <v>1552.03</v>
      </c>
      <c r="V19" s="5">
        <v>1433.25</v>
      </c>
      <c r="W19" s="3">
        <v>614.04999999999995</v>
      </c>
    </row>
    <row r="20" spans="1:23" ht="60.75">
      <c r="A20" s="3" t="s">
        <v>23</v>
      </c>
      <c r="B20" s="3" t="s">
        <v>24</v>
      </c>
      <c r="C20" s="3" t="s">
        <v>35</v>
      </c>
      <c r="D20" s="3" t="s">
        <v>43</v>
      </c>
      <c r="E20" s="3" t="s">
        <v>32</v>
      </c>
      <c r="F20" s="3" t="s">
        <v>78</v>
      </c>
      <c r="G20" s="3">
        <v>2016</v>
      </c>
      <c r="H20" s="3" t="str">
        <f>CONCATENATE("64240605549")</f>
        <v>64240605549</v>
      </c>
      <c r="I20" s="3" t="s">
        <v>25</v>
      </c>
      <c r="J20" s="3" t="s">
        <v>26</v>
      </c>
      <c r="K20" s="3" t="str">
        <f t="shared" si="2"/>
        <v/>
      </c>
      <c r="L20" s="3" t="str">
        <f>CONCATENATE("11 11.2 4b")</f>
        <v>11 11.2 4b</v>
      </c>
      <c r="M20" s="3" t="str">
        <f>CONCATENATE("BLDMRA62L20D024Z")</f>
        <v>BLDMRA62L20D024Z</v>
      </c>
      <c r="N20" s="3" t="s">
        <v>79</v>
      </c>
      <c r="O20" s="3"/>
      <c r="P20" s="4">
        <v>42783</v>
      </c>
      <c r="Q20" s="3" t="s">
        <v>27</v>
      </c>
      <c r="R20" s="3" t="s">
        <v>28</v>
      </c>
      <c r="S20" s="3" t="s">
        <v>29</v>
      </c>
      <c r="T20" s="5">
        <v>1464.18</v>
      </c>
      <c r="U20" s="3">
        <v>631.35</v>
      </c>
      <c r="V20" s="3">
        <v>583.04</v>
      </c>
      <c r="W20" s="3">
        <v>249.79</v>
      </c>
    </row>
    <row r="21" spans="1:23" ht="60.75">
      <c r="A21" s="3" t="s">
        <v>23</v>
      </c>
      <c r="B21" s="3" t="s">
        <v>24</v>
      </c>
      <c r="C21" s="3" t="s">
        <v>35</v>
      </c>
      <c r="D21" s="3" t="s">
        <v>48</v>
      </c>
      <c r="E21" s="3" t="s">
        <v>49</v>
      </c>
      <c r="F21" s="3" t="s">
        <v>80</v>
      </c>
      <c r="G21" s="3">
        <v>2016</v>
      </c>
      <c r="H21" s="3" t="str">
        <f>CONCATENATE("64210678468")</f>
        <v>64210678468</v>
      </c>
      <c r="I21" s="3" t="s">
        <v>25</v>
      </c>
      <c r="J21" s="3" t="s">
        <v>26</v>
      </c>
      <c r="K21" s="3" t="str">
        <f t="shared" si="2"/>
        <v/>
      </c>
      <c r="L21" s="3" t="str">
        <f t="shared" ref="L21:L28" si="3">CONCATENATE("13 13.1 4a")</f>
        <v>13 13.1 4a</v>
      </c>
      <c r="M21" s="3" t="str">
        <f>CONCATENATE("STZNGL55C30C267U")</f>
        <v>STZNGL55C30C267U</v>
      </c>
      <c r="N21" s="3" t="s">
        <v>81</v>
      </c>
      <c r="O21" s="3"/>
      <c r="P21" s="4">
        <v>42783</v>
      </c>
      <c r="Q21" s="3" t="s">
        <v>27</v>
      </c>
      <c r="R21" s="3" t="s">
        <v>28</v>
      </c>
      <c r="S21" s="3" t="s">
        <v>29</v>
      </c>
      <c r="T21" s="5">
        <v>3060</v>
      </c>
      <c r="U21" s="5">
        <v>1319.47</v>
      </c>
      <c r="V21" s="5">
        <v>1218.49</v>
      </c>
      <c r="W21" s="3">
        <v>522.04</v>
      </c>
    </row>
    <row r="22" spans="1:23" ht="60.75">
      <c r="A22" s="3" t="s">
        <v>23</v>
      </c>
      <c r="B22" s="3" t="s">
        <v>24</v>
      </c>
      <c r="C22" s="3" t="s">
        <v>35</v>
      </c>
      <c r="D22" s="3" t="s">
        <v>43</v>
      </c>
      <c r="E22" s="3" t="s">
        <v>30</v>
      </c>
      <c r="F22" s="3" t="s">
        <v>76</v>
      </c>
      <c r="G22" s="3">
        <v>2016</v>
      </c>
      <c r="H22" s="3" t="str">
        <f>CONCATENATE("64210087041")</f>
        <v>64210087041</v>
      </c>
      <c r="I22" s="3" t="s">
        <v>25</v>
      </c>
      <c r="J22" s="3" t="s">
        <v>26</v>
      </c>
      <c r="K22" s="3" t="str">
        <f t="shared" si="2"/>
        <v/>
      </c>
      <c r="L22" s="3" t="str">
        <f t="shared" si="3"/>
        <v>13 13.1 4a</v>
      </c>
      <c r="M22" s="3" t="str">
        <f>CONCATENATE("GVNDNC38E06F467B")</f>
        <v>GVNDNC38E06F467B</v>
      </c>
      <c r="N22" s="3" t="s">
        <v>82</v>
      </c>
      <c r="O22" s="3"/>
      <c r="P22" s="4">
        <v>42783</v>
      </c>
      <c r="Q22" s="3" t="s">
        <v>27</v>
      </c>
      <c r="R22" s="3" t="s">
        <v>28</v>
      </c>
      <c r="S22" s="3" t="s">
        <v>29</v>
      </c>
      <c r="T22" s="5">
        <v>3462.46</v>
      </c>
      <c r="U22" s="5">
        <v>1493.01</v>
      </c>
      <c r="V22" s="5">
        <v>1378.75</v>
      </c>
      <c r="W22" s="3">
        <v>590.70000000000005</v>
      </c>
    </row>
    <row r="23" spans="1:23" ht="60.75">
      <c r="A23" s="3" t="s">
        <v>23</v>
      </c>
      <c r="B23" s="3" t="s">
        <v>24</v>
      </c>
      <c r="C23" s="3" t="s">
        <v>35</v>
      </c>
      <c r="D23" s="3" t="s">
        <v>43</v>
      </c>
      <c r="E23" s="3" t="s">
        <v>30</v>
      </c>
      <c r="F23" s="3" t="s">
        <v>76</v>
      </c>
      <c r="G23" s="3">
        <v>2016</v>
      </c>
      <c r="H23" s="3" t="str">
        <f>CONCATENATE("64210141335")</f>
        <v>64210141335</v>
      </c>
      <c r="I23" s="3" t="s">
        <v>25</v>
      </c>
      <c r="J23" s="3" t="s">
        <v>26</v>
      </c>
      <c r="K23" s="3" t="str">
        <f t="shared" si="2"/>
        <v/>
      </c>
      <c r="L23" s="3" t="str">
        <f t="shared" si="3"/>
        <v>13 13.1 4a</v>
      </c>
      <c r="M23" s="3" t="str">
        <f>CONCATENATE("PMPGGS58B19G627K")</f>
        <v>PMPGGS58B19G627K</v>
      </c>
      <c r="N23" s="3" t="s">
        <v>83</v>
      </c>
      <c r="O23" s="3"/>
      <c r="P23" s="4">
        <v>42783</v>
      </c>
      <c r="Q23" s="3" t="s">
        <v>27</v>
      </c>
      <c r="R23" s="3" t="s">
        <v>28</v>
      </c>
      <c r="S23" s="3" t="s">
        <v>29</v>
      </c>
      <c r="T23" s="5">
        <v>1766.06</v>
      </c>
      <c r="U23" s="3">
        <v>761.53</v>
      </c>
      <c r="V23" s="3">
        <v>703.25</v>
      </c>
      <c r="W23" s="3">
        <v>301.27999999999997</v>
      </c>
    </row>
    <row r="24" spans="1:23" ht="60.75">
      <c r="A24" s="3" t="s">
        <v>23</v>
      </c>
      <c r="B24" s="3" t="s">
        <v>24</v>
      </c>
      <c r="C24" s="3" t="s">
        <v>35</v>
      </c>
      <c r="D24" s="3" t="s">
        <v>39</v>
      </c>
      <c r="E24" s="3" t="s">
        <v>30</v>
      </c>
      <c r="F24" s="3" t="s">
        <v>84</v>
      </c>
      <c r="G24" s="3">
        <v>2016</v>
      </c>
      <c r="H24" s="3" t="str">
        <f>CONCATENATE("64210809782")</f>
        <v>64210809782</v>
      </c>
      <c r="I24" s="3" t="s">
        <v>25</v>
      </c>
      <c r="J24" s="3" t="s">
        <v>26</v>
      </c>
      <c r="K24" s="3" t="str">
        <f t="shared" si="2"/>
        <v/>
      </c>
      <c r="L24" s="3" t="str">
        <f t="shared" si="3"/>
        <v>13 13.1 4a</v>
      </c>
      <c r="M24" s="3" t="str">
        <f>CONCATENATE("PVRLLL65B11D451S")</f>
        <v>PVRLLL65B11D451S</v>
      </c>
      <c r="N24" s="3" t="s">
        <v>85</v>
      </c>
      <c r="O24" s="3"/>
      <c r="P24" s="4">
        <v>42783</v>
      </c>
      <c r="Q24" s="3" t="s">
        <v>27</v>
      </c>
      <c r="R24" s="3" t="s">
        <v>28</v>
      </c>
      <c r="S24" s="3" t="s">
        <v>29</v>
      </c>
      <c r="T24" s="5">
        <v>1110.53</v>
      </c>
      <c r="U24" s="3">
        <v>478.86</v>
      </c>
      <c r="V24" s="3">
        <v>442.21</v>
      </c>
      <c r="W24" s="3">
        <v>189.46</v>
      </c>
    </row>
    <row r="25" spans="1:23" ht="60.75">
      <c r="A25" s="3" t="s">
        <v>23</v>
      </c>
      <c r="B25" s="3" t="s">
        <v>24</v>
      </c>
      <c r="C25" s="3" t="s">
        <v>35</v>
      </c>
      <c r="D25" s="3" t="s">
        <v>36</v>
      </c>
      <c r="E25" s="3" t="s">
        <v>30</v>
      </c>
      <c r="F25" s="3" t="s">
        <v>86</v>
      </c>
      <c r="G25" s="3">
        <v>2016</v>
      </c>
      <c r="H25" s="3" t="str">
        <f>CONCATENATE("64210733313")</f>
        <v>64210733313</v>
      </c>
      <c r="I25" s="3" t="s">
        <v>25</v>
      </c>
      <c r="J25" s="3" t="s">
        <v>26</v>
      </c>
      <c r="K25" s="3" t="str">
        <f t="shared" si="2"/>
        <v/>
      </c>
      <c r="L25" s="3" t="str">
        <f t="shared" si="3"/>
        <v>13 13.1 4a</v>
      </c>
      <c r="M25" s="3" t="str">
        <f>CONCATENATE("BRNVCN53D43L728D")</f>
        <v>BRNVCN53D43L728D</v>
      </c>
      <c r="N25" s="3" t="s">
        <v>87</v>
      </c>
      <c r="O25" s="3"/>
      <c r="P25" s="4">
        <v>42783</v>
      </c>
      <c r="Q25" s="3" t="s">
        <v>27</v>
      </c>
      <c r="R25" s="3" t="s">
        <v>28</v>
      </c>
      <c r="S25" s="3" t="s">
        <v>29</v>
      </c>
      <c r="T25" s="3">
        <v>830.86</v>
      </c>
      <c r="U25" s="3">
        <v>358.27</v>
      </c>
      <c r="V25" s="3">
        <v>330.85</v>
      </c>
      <c r="W25" s="3">
        <v>141.74</v>
      </c>
    </row>
    <row r="26" spans="1:23" ht="72.75">
      <c r="A26" s="3" t="s">
        <v>23</v>
      </c>
      <c r="B26" s="3" t="s">
        <v>24</v>
      </c>
      <c r="C26" s="3" t="s">
        <v>35</v>
      </c>
      <c r="D26" s="3" t="s">
        <v>43</v>
      </c>
      <c r="E26" s="3" t="s">
        <v>30</v>
      </c>
      <c r="F26" s="3" t="s">
        <v>76</v>
      </c>
      <c r="G26" s="3">
        <v>2016</v>
      </c>
      <c r="H26" s="3" t="str">
        <f>CONCATENATE("64210096851")</f>
        <v>64210096851</v>
      </c>
      <c r="I26" s="3" t="s">
        <v>25</v>
      </c>
      <c r="J26" s="3" t="s">
        <v>26</v>
      </c>
      <c r="K26" s="3" t="str">
        <f t="shared" si="2"/>
        <v/>
      </c>
      <c r="L26" s="3" t="str">
        <f t="shared" si="3"/>
        <v>13 13.1 4a</v>
      </c>
      <c r="M26" s="3" t="str">
        <f>CONCATENATE("RGGRRT58A02B816G")</f>
        <v>RGGRRT58A02B816G</v>
      </c>
      <c r="N26" s="3" t="s">
        <v>88</v>
      </c>
      <c r="O26" s="3"/>
      <c r="P26" s="4">
        <v>42783</v>
      </c>
      <c r="Q26" s="3" t="s">
        <v>27</v>
      </c>
      <c r="R26" s="3" t="s">
        <v>28</v>
      </c>
      <c r="S26" s="3" t="s">
        <v>29</v>
      </c>
      <c r="T26" s="5">
        <v>1831.78</v>
      </c>
      <c r="U26" s="3">
        <v>789.86</v>
      </c>
      <c r="V26" s="3">
        <v>729.41</v>
      </c>
      <c r="W26" s="3">
        <v>312.51</v>
      </c>
    </row>
    <row r="27" spans="1:23" ht="60.75">
      <c r="A27" s="3" t="s">
        <v>23</v>
      </c>
      <c r="B27" s="3" t="s">
        <v>24</v>
      </c>
      <c r="C27" s="3" t="s">
        <v>35</v>
      </c>
      <c r="D27" s="3" t="s">
        <v>36</v>
      </c>
      <c r="E27" s="3" t="s">
        <v>33</v>
      </c>
      <c r="F27" s="3" t="s">
        <v>89</v>
      </c>
      <c r="G27" s="3">
        <v>2016</v>
      </c>
      <c r="H27" s="3" t="str">
        <f>CONCATENATE("64210899262")</f>
        <v>64210899262</v>
      </c>
      <c r="I27" s="3" t="s">
        <v>25</v>
      </c>
      <c r="J27" s="3" t="s">
        <v>26</v>
      </c>
      <c r="K27" s="3" t="str">
        <f t="shared" si="2"/>
        <v/>
      </c>
      <c r="L27" s="3" t="str">
        <f t="shared" si="3"/>
        <v>13 13.1 4a</v>
      </c>
      <c r="M27" s="3" t="str">
        <f>CONCATENATE("FRTFLV56T41F509U")</f>
        <v>FRTFLV56T41F509U</v>
      </c>
      <c r="N27" s="3" t="s">
        <v>90</v>
      </c>
      <c r="O27" s="3"/>
      <c r="P27" s="4">
        <v>42783</v>
      </c>
      <c r="Q27" s="3" t="s">
        <v>27</v>
      </c>
      <c r="R27" s="3" t="s">
        <v>28</v>
      </c>
      <c r="S27" s="3" t="s">
        <v>29</v>
      </c>
      <c r="T27" s="3">
        <v>714.65</v>
      </c>
      <c r="U27" s="3">
        <v>308.16000000000003</v>
      </c>
      <c r="V27" s="3">
        <v>284.57</v>
      </c>
      <c r="W27" s="3">
        <v>121.92</v>
      </c>
    </row>
    <row r="28" spans="1:23" ht="60.75">
      <c r="A28" s="3" t="s">
        <v>23</v>
      </c>
      <c r="B28" s="3" t="s">
        <v>24</v>
      </c>
      <c r="C28" s="3" t="s">
        <v>35</v>
      </c>
      <c r="D28" s="3" t="s">
        <v>48</v>
      </c>
      <c r="E28" s="3" t="s">
        <v>30</v>
      </c>
      <c r="F28" s="3" t="s">
        <v>91</v>
      </c>
      <c r="G28" s="3">
        <v>2016</v>
      </c>
      <c r="H28" s="3" t="str">
        <f>CONCATENATE("64210545394")</f>
        <v>64210545394</v>
      </c>
      <c r="I28" s="3" t="s">
        <v>25</v>
      </c>
      <c r="J28" s="3" t="s">
        <v>26</v>
      </c>
      <c r="K28" s="3" t="str">
        <f t="shared" si="2"/>
        <v/>
      </c>
      <c r="L28" s="3" t="str">
        <f t="shared" si="3"/>
        <v>13 13.1 4a</v>
      </c>
      <c r="M28" s="3" t="str">
        <f>CONCATENATE("SVRGPP31T03B474Q")</f>
        <v>SVRGPP31T03B474Q</v>
      </c>
      <c r="N28" s="3" t="s">
        <v>92</v>
      </c>
      <c r="O28" s="3"/>
      <c r="P28" s="4">
        <v>42783</v>
      </c>
      <c r="Q28" s="3" t="s">
        <v>27</v>
      </c>
      <c r="R28" s="3" t="s">
        <v>28</v>
      </c>
      <c r="S28" s="3" t="s">
        <v>29</v>
      </c>
      <c r="T28" s="5">
        <v>4248.55</v>
      </c>
      <c r="U28" s="5">
        <v>1831.97</v>
      </c>
      <c r="V28" s="5">
        <v>1691.77</v>
      </c>
      <c r="W28" s="3">
        <v>724.81</v>
      </c>
    </row>
    <row r="29" spans="1:23" ht="60.75">
      <c r="A29" s="3" t="s">
        <v>23</v>
      </c>
      <c r="B29" s="3" t="s">
        <v>24</v>
      </c>
      <c r="C29" s="3" t="s">
        <v>35</v>
      </c>
      <c r="D29" s="3" t="s">
        <v>36</v>
      </c>
      <c r="E29" s="3" t="s">
        <v>59</v>
      </c>
      <c r="F29" s="3" t="s">
        <v>62</v>
      </c>
      <c r="G29" s="3">
        <v>2016</v>
      </c>
      <c r="H29" s="3" t="str">
        <f>CONCATENATE("64240627535")</f>
        <v>64240627535</v>
      </c>
      <c r="I29" s="3" t="s">
        <v>25</v>
      </c>
      <c r="J29" s="3" t="s">
        <v>26</v>
      </c>
      <c r="K29" s="3" t="str">
        <f t="shared" si="2"/>
        <v/>
      </c>
      <c r="L29" s="3" t="str">
        <f>CONCATENATE("11 11.2 4b")</f>
        <v>11 11.2 4b</v>
      </c>
      <c r="M29" s="3" t="str">
        <f>CONCATENATE("BRTGNI66L18H769F")</f>
        <v>BRTGNI66L18H769F</v>
      </c>
      <c r="N29" s="3" t="s">
        <v>93</v>
      </c>
      <c r="O29" s="3"/>
      <c r="P29" s="4">
        <v>42783</v>
      </c>
      <c r="Q29" s="3" t="s">
        <v>27</v>
      </c>
      <c r="R29" s="3" t="s">
        <v>28</v>
      </c>
      <c r="S29" s="3" t="s">
        <v>29</v>
      </c>
      <c r="T29" s="5">
        <v>1136.93</v>
      </c>
      <c r="U29" s="3">
        <v>490.24</v>
      </c>
      <c r="V29" s="3">
        <v>452.73</v>
      </c>
      <c r="W29" s="3">
        <v>193.96</v>
      </c>
    </row>
    <row r="30" spans="1:23" ht="48.75">
      <c r="A30" s="3" t="s">
        <v>23</v>
      </c>
      <c r="B30" s="3" t="s">
        <v>24</v>
      </c>
      <c r="C30" s="3" t="s">
        <v>35</v>
      </c>
      <c r="D30" s="3" t="s">
        <v>48</v>
      </c>
      <c r="E30" s="3" t="s">
        <v>49</v>
      </c>
      <c r="F30" s="3" t="s">
        <v>74</v>
      </c>
      <c r="G30" s="3">
        <v>2016</v>
      </c>
      <c r="H30" s="3" t="str">
        <f>CONCATENATE("64210877730")</f>
        <v>64210877730</v>
      </c>
      <c r="I30" s="3" t="s">
        <v>25</v>
      </c>
      <c r="J30" s="3" t="s">
        <v>26</v>
      </c>
      <c r="K30" s="3" t="str">
        <f t="shared" si="2"/>
        <v/>
      </c>
      <c r="L30" s="3" t="str">
        <f>CONCATENATE("13 13.1 4a")</f>
        <v>13 13.1 4a</v>
      </c>
      <c r="M30" s="3" t="str">
        <f>CONCATENATE("PZZPLA69L26B474L")</f>
        <v>PZZPLA69L26B474L</v>
      </c>
      <c r="N30" s="3" t="s">
        <v>94</v>
      </c>
      <c r="O30" s="3"/>
      <c r="P30" s="4">
        <v>42783</v>
      </c>
      <c r="Q30" s="3" t="s">
        <v>27</v>
      </c>
      <c r="R30" s="3" t="s">
        <v>28</v>
      </c>
      <c r="S30" s="3" t="s">
        <v>29</v>
      </c>
      <c r="T30" s="5">
        <v>4590</v>
      </c>
      <c r="U30" s="5">
        <v>1979.21</v>
      </c>
      <c r="V30" s="5">
        <v>1827.74</v>
      </c>
      <c r="W30" s="3">
        <v>783.05</v>
      </c>
    </row>
    <row r="31" spans="1:23" ht="36.75">
      <c r="A31" s="3" t="s">
        <v>23</v>
      </c>
      <c r="B31" s="3" t="s">
        <v>24</v>
      </c>
      <c r="C31" s="3" t="s">
        <v>35</v>
      </c>
      <c r="D31" s="3" t="s">
        <v>36</v>
      </c>
      <c r="E31" s="3" t="s">
        <v>33</v>
      </c>
      <c r="F31" s="3" t="s">
        <v>95</v>
      </c>
      <c r="G31" s="3">
        <v>2016</v>
      </c>
      <c r="H31" s="3" t="str">
        <f>CONCATENATE("64240458295")</f>
        <v>64240458295</v>
      </c>
      <c r="I31" s="3" t="s">
        <v>25</v>
      </c>
      <c r="J31" s="3" t="s">
        <v>26</v>
      </c>
      <c r="K31" s="3" t="str">
        <f t="shared" si="2"/>
        <v/>
      </c>
      <c r="L31" s="3" t="str">
        <f>CONCATENATE("11 11.2 4b")</f>
        <v>11 11.2 4b</v>
      </c>
      <c r="M31" s="3" t="str">
        <f>CONCATENATE("01593930447")</f>
        <v>01593930447</v>
      </c>
      <c r="N31" s="3" t="s">
        <v>96</v>
      </c>
      <c r="O31" s="3"/>
      <c r="P31" s="4">
        <v>42783</v>
      </c>
      <c r="Q31" s="3" t="s">
        <v>27</v>
      </c>
      <c r="R31" s="3" t="s">
        <v>28</v>
      </c>
      <c r="S31" s="3" t="s">
        <v>29</v>
      </c>
      <c r="T31" s="5">
        <v>21896.44</v>
      </c>
      <c r="U31" s="5">
        <v>9441.74</v>
      </c>
      <c r="V31" s="5">
        <v>8719.16</v>
      </c>
      <c r="W31" s="5">
        <v>3735.54</v>
      </c>
    </row>
    <row r="32" spans="1:23" ht="72.75">
      <c r="A32" s="3" t="s">
        <v>23</v>
      </c>
      <c r="B32" s="3" t="s">
        <v>24</v>
      </c>
      <c r="C32" s="3" t="s">
        <v>35</v>
      </c>
      <c r="D32" s="3" t="s">
        <v>39</v>
      </c>
      <c r="E32" s="3" t="s">
        <v>30</v>
      </c>
      <c r="F32" s="3" t="s">
        <v>97</v>
      </c>
      <c r="G32" s="3">
        <v>2016</v>
      </c>
      <c r="H32" s="3" t="str">
        <f>CONCATENATE("64240638664")</f>
        <v>64240638664</v>
      </c>
      <c r="I32" s="3" t="s">
        <v>25</v>
      </c>
      <c r="J32" s="3" t="s">
        <v>26</v>
      </c>
      <c r="K32" s="3" t="str">
        <f t="shared" si="2"/>
        <v/>
      </c>
      <c r="L32" s="3" t="str">
        <f>CONCATENATE("11 11.2 4b")</f>
        <v>11 11.2 4b</v>
      </c>
      <c r="M32" s="3" t="str">
        <f>CONCATENATE("MRNPLA75P30H211M")</f>
        <v>MRNPLA75P30H211M</v>
      </c>
      <c r="N32" s="3" t="s">
        <v>98</v>
      </c>
      <c r="O32" s="3"/>
      <c r="P32" s="4">
        <v>42783</v>
      </c>
      <c r="Q32" s="3" t="s">
        <v>27</v>
      </c>
      <c r="R32" s="3" t="s">
        <v>28</v>
      </c>
      <c r="S32" s="3" t="s">
        <v>29</v>
      </c>
      <c r="T32" s="5">
        <v>9237.75</v>
      </c>
      <c r="U32" s="5">
        <v>3983.32</v>
      </c>
      <c r="V32" s="5">
        <v>3678.47</v>
      </c>
      <c r="W32" s="5">
        <v>1575.96</v>
      </c>
    </row>
    <row r="33" spans="1:23" ht="60.75">
      <c r="A33" s="3" t="s">
        <v>23</v>
      </c>
      <c r="B33" s="3" t="s">
        <v>24</v>
      </c>
      <c r="C33" s="3" t="s">
        <v>35</v>
      </c>
      <c r="D33" s="3" t="s">
        <v>43</v>
      </c>
      <c r="E33" s="3" t="s">
        <v>42</v>
      </c>
      <c r="F33" s="3" t="s">
        <v>42</v>
      </c>
      <c r="G33" s="3">
        <v>2016</v>
      </c>
      <c r="H33" s="3" t="str">
        <f>CONCATENATE("64240309316")</f>
        <v>64240309316</v>
      </c>
      <c r="I33" s="3" t="s">
        <v>25</v>
      </c>
      <c r="J33" s="3" t="s">
        <v>26</v>
      </c>
      <c r="K33" s="3" t="str">
        <f t="shared" si="2"/>
        <v/>
      </c>
      <c r="L33" s="3" t="str">
        <f>CONCATENATE("11 11.2 4b")</f>
        <v>11 11.2 4b</v>
      </c>
      <c r="M33" s="3" t="str">
        <f>CONCATENATE("CLNNRC83M16I459C")</f>
        <v>CLNNRC83M16I459C</v>
      </c>
      <c r="N33" s="3" t="s">
        <v>99</v>
      </c>
      <c r="O33" s="3"/>
      <c r="P33" s="4">
        <v>42783</v>
      </c>
      <c r="Q33" s="3" t="s">
        <v>27</v>
      </c>
      <c r="R33" s="3" t="s">
        <v>28</v>
      </c>
      <c r="S33" s="3" t="s">
        <v>29</v>
      </c>
      <c r="T33" s="5">
        <v>20755.78</v>
      </c>
      <c r="U33" s="5">
        <v>8949.89</v>
      </c>
      <c r="V33" s="5">
        <v>8264.9500000000007</v>
      </c>
      <c r="W33" s="5">
        <v>3540.94</v>
      </c>
    </row>
    <row r="34" spans="1:23" ht="36.75">
      <c r="A34" s="3" t="s">
        <v>23</v>
      </c>
      <c r="B34" s="3" t="s">
        <v>24</v>
      </c>
      <c r="C34" s="3" t="s">
        <v>35</v>
      </c>
      <c r="D34" s="3" t="s">
        <v>43</v>
      </c>
      <c r="E34" s="3" t="s">
        <v>100</v>
      </c>
      <c r="F34" s="3" t="s">
        <v>101</v>
      </c>
      <c r="G34" s="3">
        <v>2016</v>
      </c>
      <c r="H34" s="3" t="str">
        <f>CONCATENATE("64210707226")</f>
        <v>64210707226</v>
      </c>
      <c r="I34" s="3" t="s">
        <v>25</v>
      </c>
      <c r="J34" s="3" t="s">
        <v>26</v>
      </c>
      <c r="K34" s="3" t="str">
        <f t="shared" si="2"/>
        <v/>
      </c>
      <c r="L34" s="3" t="str">
        <f>CONCATENATE("13 13.1 4a")</f>
        <v>13 13.1 4a</v>
      </c>
      <c r="M34" s="3" t="str">
        <f>CONCATENATE("02168780415")</f>
        <v>02168780415</v>
      </c>
      <c r="N34" s="3" t="s">
        <v>102</v>
      </c>
      <c r="O34" s="3"/>
      <c r="P34" s="4">
        <v>42783</v>
      </c>
      <c r="Q34" s="3" t="s">
        <v>27</v>
      </c>
      <c r="R34" s="3" t="s">
        <v>28</v>
      </c>
      <c r="S34" s="3" t="s">
        <v>29</v>
      </c>
      <c r="T34" s="5">
        <v>2060.35</v>
      </c>
      <c r="U34" s="3">
        <v>888.42</v>
      </c>
      <c r="V34" s="3">
        <v>820.43</v>
      </c>
      <c r="W34" s="3">
        <v>351.5</v>
      </c>
    </row>
    <row r="35" spans="1:23" ht="36.75">
      <c r="A35" s="3" t="s">
        <v>23</v>
      </c>
      <c r="B35" s="3" t="s">
        <v>24</v>
      </c>
      <c r="C35" s="3" t="s">
        <v>35</v>
      </c>
      <c r="D35" s="3" t="s">
        <v>36</v>
      </c>
      <c r="E35" s="3" t="s">
        <v>30</v>
      </c>
      <c r="F35" s="3" t="s">
        <v>37</v>
      </c>
      <c r="G35" s="3">
        <v>2016</v>
      </c>
      <c r="H35" s="3" t="str">
        <f>CONCATENATE("64240679668")</f>
        <v>64240679668</v>
      </c>
      <c r="I35" s="3" t="s">
        <v>25</v>
      </c>
      <c r="J35" s="3" t="s">
        <v>26</v>
      </c>
      <c r="K35" s="3" t="str">
        <f t="shared" si="2"/>
        <v/>
      </c>
      <c r="L35" s="3" t="str">
        <f>CONCATENATE("11 11.2 4b")</f>
        <v>11 11.2 4b</v>
      </c>
      <c r="M35" s="3" t="str">
        <f>CONCATENATE("01146920440")</f>
        <v>01146920440</v>
      </c>
      <c r="N35" s="3" t="s">
        <v>103</v>
      </c>
      <c r="O35" s="3"/>
      <c r="P35" s="4">
        <v>42783</v>
      </c>
      <c r="Q35" s="3" t="s">
        <v>27</v>
      </c>
      <c r="R35" s="3" t="s">
        <v>28</v>
      </c>
      <c r="S35" s="3" t="s">
        <v>29</v>
      </c>
      <c r="T35" s="5">
        <v>9429.4</v>
      </c>
      <c r="U35" s="5">
        <v>4065.96</v>
      </c>
      <c r="V35" s="5">
        <v>3754.79</v>
      </c>
      <c r="W35" s="5">
        <v>1608.65</v>
      </c>
    </row>
    <row r="36" spans="1:23" ht="60.75">
      <c r="A36" s="3" t="s">
        <v>23</v>
      </c>
      <c r="B36" s="3" t="s">
        <v>24</v>
      </c>
      <c r="C36" s="3" t="s">
        <v>35</v>
      </c>
      <c r="D36" s="3" t="s">
        <v>43</v>
      </c>
      <c r="E36" s="3" t="s">
        <v>30</v>
      </c>
      <c r="F36" s="3" t="s">
        <v>104</v>
      </c>
      <c r="G36" s="3">
        <v>2016</v>
      </c>
      <c r="H36" s="3" t="str">
        <f>CONCATENATE("64210410102")</f>
        <v>64210410102</v>
      </c>
      <c r="I36" s="3" t="s">
        <v>25</v>
      </c>
      <c r="J36" s="3" t="s">
        <v>26</v>
      </c>
      <c r="K36" s="3" t="str">
        <f t="shared" si="2"/>
        <v/>
      </c>
      <c r="L36" s="3" t="str">
        <f>CONCATENATE("13 13.1 4a")</f>
        <v>13 13.1 4a</v>
      </c>
      <c r="M36" s="3" t="str">
        <f>CONCATENATE("MNGRGL55P02L500K")</f>
        <v>MNGRGL55P02L500K</v>
      </c>
      <c r="N36" s="3" t="s">
        <v>105</v>
      </c>
      <c r="O36" s="3"/>
      <c r="P36" s="4">
        <v>42783</v>
      </c>
      <c r="Q36" s="3" t="s">
        <v>27</v>
      </c>
      <c r="R36" s="3" t="s">
        <v>28</v>
      </c>
      <c r="S36" s="3" t="s">
        <v>29</v>
      </c>
      <c r="T36" s="5">
        <v>4590</v>
      </c>
      <c r="U36" s="5">
        <v>1979.21</v>
      </c>
      <c r="V36" s="5">
        <v>1827.74</v>
      </c>
      <c r="W36" s="3">
        <v>783.05</v>
      </c>
    </row>
    <row r="37" spans="1:23" ht="60.75">
      <c r="A37" s="3" t="s">
        <v>23</v>
      </c>
      <c r="B37" s="3" t="s">
        <v>24</v>
      </c>
      <c r="C37" s="3" t="s">
        <v>35</v>
      </c>
      <c r="D37" s="3" t="s">
        <v>39</v>
      </c>
      <c r="E37" s="3" t="s">
        <v>30</v>
      </c>
      <c r="F37" s="3" t="s">
        <v>84</v>
      </c>
      <c r="G37" s="3">
        <v>2016</v>
      </c>
      <c r="H37" s="3" t="str">
        <f>CONCATENATE("64210364960")</f>
        <v>64210364960</v>
      </c>
      <c r="I37" s="3" t="s">
        <v>25</v>
      </c>
      <c r="J37" s="3" t="s">
        <v>26</v>
      </c>
      <c r="K37" s="3" t="str">
        <f t="shared" si="2"/>
        <v/>
      </c>
      <c r="L37" s="3" t="str">
        <f>CONCATENATE("13 13.1 4a")</f>
        <v>13 13.1 4a</v>
      </c>
      <c r="M37" s="3" t="str">
        <f>CONCATENATE("PCCTRS38S50B474K")</f>
        <v>PCCTRS38S50B474K</v>
      </c>
      <c r="N37" s="3" t="s">
        <v>106</v>
      </c>
      <c r="O37" s="3"/>
      <c r="P37" s="4">
        <v>42783</v>
      </c>
      <c r="Q37" s="3" t="s">
        <v>27</v>
      </c>
      <c r="R37" s="3" t="s">
        <v>28</v>
      </c>
      <c r="S37" s="3" t="s">
        <v>29</v>
      </c>
      <c r="T37" s="3">
        <v>726.38</v>
      </c>
      <c r="U37" s="3">
        <v>313.22000000000003</v>
      </c>
      <c r="V37" s="3">
        <v>289.24</v>
      </c>
      <c r="W37" s="3">
        <v>123.92</v>
      </c>
    </row>
    <row r="38" spans="1:23" ht="72.75">
      <c r="A38" s="3" t="s">
        <v>23</v>
      </c>
      <c r="B38" s="3" t="s">
        <v>24</v>
      </c>
      <c r="C38" s="3" t="s">
        <v>35</v>
      </c>
      <c r="D38" s="3" t="s">
        <v>48</v>
      </c>
      <c r="E38" s="3" t="s">
        <v>30</v>
      </c>
      <c r="F38" s="3" t="s">
        <v>91</v>
      </c>
      <c r="G38" s="3">
        <v>2016</v>
      </c>
      <c r="H38" s="3" t="str">
        <f>CONCATENATE("64210538464")</f>
        <v>64210538464</v>
      </c>
      <c r="I38" s="3" t="s">
        <v>25</v>
      </c>
      <c r="J38" s="3" t="s">
        <v>26</v>
      </c>
      <c r="K38" s="3" t="str">
        <f t="shared" si="2"/>
        <v/>
      </c>
      <c r="L38" s="3" t="str">
        <f>CONCATENATE("13 13.1 4a")</f>
        <v>13 13.1 4a</v>
      </c>
      <c r="M38" s="3" t="str">
        <f>CONCATENATE("BRGRRT63A18D429U")</f>
        <v>BRGRRT63A18D429U</v>
      </c>
      <c r="N38" s="3" t="s">
        <v>107</v>
      </c>
      <c r="O38" s="3"/>
      <c r="P38" s="4">
        <v>42783</v>
      </c>
      <c r="Q38" s="3" t="s">
        <v>27</v>
      </c>
      <c r="R38" s="3" t="s">
        <v>28</v>
      </c>
      <c r="S38" s="3" t="s">
        <v>29</v>
      </c>
      <c r="T38" s="5">
        <v>4220.8999999999996</v>
      </c>
      <c r="U38" s="5">
        <v>1820.05</v>
      </c>
      <c r="V38" s="5">
        <v>1680.76</v>
      </c>
      <c r="W38" s="3">
        <v>720.09</v>
      </c>
    </row>
    <row r="39" spans="1:23" ht="60.75">
      <c r="A39" s="3" t="s">
        <v>23</v>
      </c>
      <c r="B39" s="3" t="s">
        <v>24</v>
      </c>
      <c r="C39" s="3" t="s">
        <v>35</v>
      </c>
      <c r="D39" s="3" t="s">
        <v>36</v>
      </c>
      <c r="E39" s="3" t="s">
        <v>30</v>
      </c>
      <c r="F39" s="3" t="s">
        <v>37</v>
      </c>
      <c r="G39" s="3">
        <v>2016</v>
      </c>
      <c r="H39" s="3" t="str">
        <f>CONCATENATE("64210280174")</f>
        <v>64210280174</v>
      </c>
      <c r="I39" s="3" t="s">
        <v>25</v>
      </c>
      <c r="J39" s="3" t="s">
        <v>26</v>
      </c>
      <c r="K39" s="3" t="str">
        <f t="shared" si="2"/>
        <v/>
      </c>
      <c r="L39" s="3" t="str">
        <f>CONCATENATE("13 13.1 4a")</f>
        <v>13 13.1 4a</v>
      </c>
      <c r="M39" s="3" t="str">
        <f>CONCATENATE("FRRDMA43P25F509Y")</f>
        <v>FRRDMA43P25F509Y</v>
      </c>
      <c r="N39" s="3" t="s">
        <v>108</v>
      </c>
      <c r="O39" s="3"/>
      <c r="P39" s="4">
        <v>42783</v>
      </c>
      <c r="Q39" s="3" t="s">
        <v>27</v>
      </c>
      <c r="R39" s="3" t="s">
        <v>28</v>
      </c>
      <c r="S39" s="3" t="s">
        <v>29</v>
      </c>
      <c r="T39" s="5">
        <v>4590</v>
      </c>
      <c r="U39" s="5">
        <v>1979.21</v>
      </c>
      <c r="V39" s="5">
        <v>1827.74</v>
      </c>
      <c r="W39" s="3">
        <v>783.05</v>
      </c>
    </row>
    <row r="40" spans="1:23" ht="36.75">
      <c r="A40" s="3" t="s">
        <v>23</v>
      </c>
      <c r="B40" s="3" t="s">
        <v>24</v>
      </c>
      <c r="C40" s="3" t="s">
        <v>35</v>
      </c>
      <c r="D40" s="3" t="s">
        <v>43</v>
      </c>
      <c r="E40" s="3" t="s">
        <v>30</v>
      </c>
      <c r="F40" s="3" t="s">
        <v>109</v>
      </c>
      <c r="G40" s="3">
        <v>2016</v>
      </c>
      <c r="H40" s="3" t="str">
        <f>CONCATENATE("64210757437")</f>
        <v>64210757437</v>
      </c>
      <c r="I40" s="3" t="s">
        <v>25</v>
      </c>
      <c r="J40" s="3" t="s">
        <v>26</v>
      </c>
      <c r="K40" s="3" t="str">
        <f t="shared" si="2"/>
        <v/>
      </c>
      <c r="L40" s="3" t="str">
        <f>CONCATENATE("13 13.1 4a")</f>
        <v>13 13.1 4a</v>
      </c>
      <c r="M40" s="3" t="str">
        <f>CONCATENATE("00398210419")</f>
        <v>00398210419</v>
      </c>
      <c r="N40" s="3" t="s">
        <v>110</v>
      </c>
      <c r="O40" s="3"/>
      <c r="P40" s="4">
        <v>42783</v>
      </c>
      <c r="Q40" s="3" t="s">
        <v>27</v>
      </c>
      <c r="R40" s="3" t="s">
        <v>28</v>
      </c>
      <c r="S40" s="3" t="s">
        <v>29</v>
      </c>
      <c r="T40" s="5">
        <v>4590</v>
      </c>
      <c r="U40" s="5">
        <v>1979.21</v>
      </c>
      <c r="V40" s="5">
        <v>1827.74</v>
      </c>
      <c r="W40" s="3">
        <v>783.05</v>
      </c>
    </row>
    <row r="41" spans="1:23" ht="60.75">
      <c r="A41" s="3" t="s">
        <v>23</v>
      </c>
      <c r="B41" s="3" t="s">
        <v>24</v>
      </c>
      <c r="C41" s="3" t="s">
        <v>35</v>
      </c>
      <c r="D41" s="3" t="s">
        <v>48</v>
      </c>
      <c r="E41" s="3" t="s">
        <v>30</v>
      </c>
      <c r="F41" s="3" t="s">
        <v>111</v>
      </c>
      <c r="G41" s="3">
        <v>2016</v>
      </c>
      <c r="H41" s="3" t="str">
        <f>CONCATENATE("64240706057")</f>
        <v>64240706057</v>
      </c>
      <c r="I41" s="3" t="s">
        <v>25</v>
      </c>
      <c r="J41" s="3" t="s">
        <v>26</v>
      </c>
      <c r="K41" s="3" t="str">
        <f t="shared" si="2"/>
        <v/>
      </c>
      <c r="L41" s="3" t="str">
        <f>CONCATENATE("11 11.2 4b")</f>
        <v>11 11.2 4b</v>
      </c>
      <c r="M41" s="3" t="str">
        <f>CONCATENATE("PCCRLA62E10L597F")</f>
        <v>PCCRLA62E10L597F</v>
      </c>
      <c r="N41" s="3" t="s">
        <v>112</v>
      </c>
      <c r="O41" s="3"/>
      <c r="P41" s="4">
        <v>42783</v>
      </c>
      <c r="Q41" s="3" t="s">
        <v>27</v>
      </c>
      <c r="R41" s="3" t="s">
        <v>28</v>
      </c>
      <c r="S41" s="3" t="s">
        <v>29</v>
      </c>
      <c r="T41" s="5">
        <v>12535.21</v>
      </c>
      <c r="U41" s="5">
        <v>5405.18</v>
      </c>
      <c r="V41" s="5">
        <v>4991.5200000000004</v>
      </c>
      <c r="W41" s="5">
        <v>2138.5100000000002</v>
      </c>
    </row>
    <row r="42" spans="1:23" ht="60.75">
      <c r="A42" s="3" t="s">
        <v>23</v>
      </c>
      <c r="B42" s="3" t="s">
        <v>24</v>
      </c>
      <c r="C42" s="3" t="s">
        <v>35</v>
      </c>
      <c r="D42" s="3" t="s">
        <v>43</v>
      </c>
      <c r="E42" s="3" t="s">
        <v>30</v>
      </c>
      <c r="F42" s="3" t="s">
        <v>113</v>
      </c>
      <c r="G42" s="3">
        <v>2016</v>
      </c>
      <c r="H42" s="3" t="str">
        <f>CONCATENATE("64211015421")</f>
        <v>64211015421</v>
      </c>
      <c r="I42" s="3" t="s">
        <v>25</v>
      </c>
      <c r="J42" s="3" t="s">
        <v>26</v>
      </c>
      <c r="K42" s="3" t="str">
        <f t="shared" si="2"/>
        <v/>
      </c>
      <c r="L42" s="3" t="str">
        <f>CONCATENATE("13 13.1 4a")</f>
        <v>13 13.1 4a</v>
      </c>
      <c r="M42" s="3" t="str">
        <f>CONCATENATE("DMSLRD78S13D643X")</f>
        <v>DMSLRD78S13D643X</v>
      </c>
      <c r="N42" s="3" t="s">
        <v>114</v>
      </c>
      <c r="O42" s="3"/>
      <c r="P42" s="4">
        <v>42783</v>
      </c>
      <c r="Q42" s="3" t="s">
        <v>27</v>
      </c>
      <c r="R42" s="3" t="s">
        <v>28</v>
      </c>
      <c r="S42" s="3" t="s">
        <v>29</v>
      </c>
      <c r="T42" s="3">
        <v>919.2</v>
      </c>
      <c r="U42" s="3">
        <v>396.36</v>
      </c>
      <c r="V42" s="3">
        <v>366.03</v>
      </c>
      <c r="W42" s="3">
        <v>156.81</v>
      </c>
    </row>
    <row r="43" spans="1:23" ht="60.75">
      <c r="A43" s="3" t="s">
        <v>23</v>
      </c>
      <c r="B43" s="3" t="s">
        <v>24</v>
      </c>
      <c r="C43" s="3" t="s">
        <v>35</v>
      </c>
      <c r="D43" s="3" t="s">
        <v>48</v>
      </c>
      <c r="E43" s="3" t="s">
        <v>49</v>
      </c>
      <c r="F43" s="3" t="s">
        <v>50</v>
      </c>
      <c r="G43" s="3">
        <v>2016</v>
      </c>
      <c r="H43" s="3" t="str">
        <f>CONCATENATE("64240510004")</f>
        <v>64240510004</v>
      </c>
      <c r="I43" s="3" t="s">
        <v>25</v>
      </c>
      <c r="J43" s="3" t="s">
        <v>26</v>
      </c>
      <c r="K43" s="3" t="str">
        <f t="shared" si="2"/>
        <v/>
      </c>
      <c r="L43" s="3" t="str">
        <f>CONCATENATE("11 11.2 4b")</f>
        <v>11 11.2 4b</v>
      </c>
      <c r="M43" s="3" t="str">
        <f>CONCATENATE("GTTDNC48H24B398Y")</f>
        <v>GTTDNC48H24B398Y</v>
      </c>
      <c r="N43" s="3" t="s">
        <v>115</v>
      </c>
      <c r="O43" s="3"/>
      <c r="P43" s="4">
        <v>42783</v>
      </c>
      <c r="Q43" s="3" t="s">
        <v>27</v>
      </c>
      <c r="R43" s="3" t="s">
        <v>28</v>
      </c>
      <c r="S43" s="3" t="s">
        <v>29</v>
      </c>
      <c r="T43" s="5">
        <v>3252.94</v>
      </c>
      <c r="U43" s="5">
        <v>1402.67</v>
      </c>
      <c r="V43" s="5">
        <v>1295.32</v>
      </c>
      <c r="W43" s="3">
        <v>554.95000000000005</v>
      </c>
    </row>
    <row r="44" spans="1:23" ht="36.75">
      <c r="A44" s="3" t="s">
        <v>23</v>
      </c>
      <c r="B44" s="3" t="s">
        <v>24</v>
      </c>
      <c r="C44" s="3" t="s">
        <v>35</v>
      </c>
      <c r="D44" s="3" t="s">
        <v>39</v>
      </c>
      <c r="E44" s="3" t="s">
        <v>32</v>
      </c>
      <c r="F44" s="3" t="s">
        <v>117</v>
      </c>
      <c r="G44" s="3">
        <v>2016</v>
      </c>
      <c r="H44" s="3" t="str">
        <f>CONCATENATE("64240486387")</f>
        <v>64240486387</v>
      </c>
      <c r="I44" s="3" t="s">
        <v>31</v>
      </c>
      <c r="J44" s="3" t="s">
        <v>26</v>
      </c>
      <c r="K44" s="3" t="str">
        <f t="shared" si="2"/>
        <v/>
      </c>
      <c r="L44" s="3" t="str">
        <f>CONCATENATE("11 11.1 4b")</f>
        <v>11 11.1 4b</v>
      </c>
      <c r="M44" s="3" t="str">
        <f>CONCATENATE("02390910426")</f>
        <v>02390910426</v>
      </c>
      <c r="N44" s="3" t="s">
        <v>118</v>
      </c>
      <c r="O44" s="3"/>
      <c r="P44" s="4">
        <v>42783</v>
      </c>
      <c r="Q44" s="3" t="s">
        <v>27</v>
      </c>
      <c r="R44" s="3" t="s">
        <v>28</v>
      </c>
      <c r="S44" s="3" t="s">
        <v>29</v>
      </c>
      <c r="T44" s="5">
        <v>7859.5</v>
      </c>
      <c r="U44" s="5">
        <v>3389.02</v>
      </c>
      <c r="V44" s="5">
        <v>3129.65</v>
      </c>
      <c r="W44" s="5">
        <v>1340.83</v>
      </c>
    </row>
    <row r="45" spans="1:23" ht="60.75">
      <c r="A45" s="3" t="s">
        <v>23</v>
      </c>
      <c r="B45" s="3" t="s">
        <v>24</v>
      </c>
      <c r="C45" s="3" t="s">
        <v>35</v>
      </c>
      <c r="D45" s="3" t="s">
        <v>43</v>
      </c>
      <c r="E45" s="3" t="s">
        <v>32</v>
      </c>
      <c r="F45" s="3" t="s">
        <v>119</v>
      </c>
      <c r="G45" s="3">
        <v>2016</v>
      </c>
      <c r="H45" s="3" t="str">
        <f>CONCATENATE("64240911525")</f>
        <v>64240911525</v>
      </c>
      <c r="I45" s="3" t="s">
        <v>25</v>
      </c>
      <c r="J45" s="3" t="s">
        <v>26</v>
      </c>
      <c r="K45" s="3" t="str">
        <f t="shared" si="2"/>
        <v/>
      </c>
      <c r="L45" s="3" t="str">
        <f>CONCATENATE("11 11.2 4b")</f>
        <v>11 11.2 4b</v>
      </c>
      <c r="M45" s="3" t="str">
        <f>CONCATENATE("STRKST60P47Z112U")</f>
        <v>STRKST60P47Z112U</v>
      </c>
      <c r="N45" s="3" t="s">
        <v>120</v>
      </c>
      <c r="O45" s="3"/>
      <c r="P45" s="4">
        <v>42783</v>
      </c>
      <c r="Q45" s="3" t="s">
        <v>27</v>
      </c>
      <c r="R45" s="3" t="s">
        <v>28</v>
      </c>
      <c r="S45" s="3" t="s">
        <v>29</v>
      </c>
      <c r="T45" s="5">
        <v>1051.67</v>
      </c>
      <c r="U45" s="3">
        <v>453.48</v>
      </c>
      <c r="V45" s="3">
        <v>418.77</v>
      </c>
      <c r="W45" s="3">
        <v>179.42</v>
      </c>
    </row>
    <row r="46" spans="1:23" ht="60.75">
      <c r="A46" s="3" t="s">
        <v>23</v>
      </c>
      <c r="B46" s="3" t="s">
        <v>24</v>
      </c>
      <c r="C46" s="3" t="s">
        <v>35</v>
      </c>
      <c r="D46" s="3" t="s">
        <v>43</v>
      </c>
      <c r="E46" s="3" t="s">
        <v>30</v>
      </c>
      <c r="F46" s="3" t="s">
        <v>76</v>
      </c>
      <c r="G46" s="3">
        <v>2016</v>
      </c>
      <c r="H46" s="3" t="str">
        <f>CONCATENATE("64240632741")</f>
        <v>64240632741</v>
      </c>
      <c r="I46" s="3" t="s">
        <v>25</v>
      </c>
      <c r="J46" s="3" t="s">
        <v>26</v>
      </c>
      <c r="K46" s="3" t="str">
        <f t="shared" ref="K46:K70" si="4">CONCATENATE("")</f>
        <v/>
      </c>
      <c r="L46" s="3" t="str">
        <f>CONCATENATE("11 11.2 4b")</f>
        <v>11 11.2 4b</v>
      </c>
      <c r="M46" s="3" t="str">
        <f>CONCATENATE("DTLMRZ53H11F467Q")</f>
        <v>DTLMRZ53H11F467Q</v>
      </c>
      <c r="N46" s="3" t="s">
        <v>121</v>
      </c>
      <c r="O46" s="3"/>
      <c r="P46" s="4">
        <v>42783</v>
      </c>
      <c r="Q46" s="3" t="s">
        <v>27</v>
      </c>
      <c r="R46" s="3" t="s">
        <v>28</v>
      </c>
      <c r="S46" s="3" t="s">
        <v>29</v>
      </c>
      <c r="T46" s="5">
        <v>19296.47</v>
      </c>
      <c r="U46" s="5">
        <v>8320.64</v>
      </c>
      <c r="V46" s="5">
        <v>7683.85</v>
      </c>
      <c r="W46" s="5">
        <v>3291.98</v>
      </c>
    </row>
    <row r="47" spans="1:23" ht="60.75">
      <c r="A47" s="3" t="s">
        <v>23</v>
      </c>
      <c r="B47" s="3" t="s">
        <v>24</v>
      </c>
      <c r="C47" s="3" t="s">
        <v>35</v>
      </c>
      <c r="D47" s="3" t="s">
        <v>43</v>
      </c>
      <c r="E47" s="3" t="s">
        <v>33</v>
      </c>
      <c r="F47" s="3" t="s">
        <v>122</v>
      </c>
      <c r="G47" s="3">
        <v>2016</v>
      </c>
      <c r="H47" s="3" t="str">
        <f>CONCATENATE("64211017625")</f>
        <v>64211017625</v>
      </c>
      <c r="I47" s="3" t="s">
        <v>25</v>
      </c>
      <c r="J47" s="3" t="s">
        <v>26</v>
      </c>
      <c r="K47" s="3" t="str">
        <f t="shared" si="4"/>
        <v/>
      </c>
      <c r="L47" s="3" t="str">
        <f>CONCATENATE("13 13.1 4a")</f>
        <v>13 13.1 4a</v>
      </c>
      <c r="M47" s="3" t="str">
        <f>CONCATENATE("BLLKTA71H46L498L")</f>
        <v>BLLKTA71H46L498L</v>
      </c>
      <c r="N47" s="3" t="s">
        <v>123</v>
      </c>
      <c r="O47" s="3"/>
      <c r="P47" s="4">
        <v>42783</v>
      </c>
      <c r="Q47" s="3" t="s">
        <v>27</v>
      </c>
      <c r="R47" s="3" t="s">
        <v>28</v>
      </c>
      <c r="S47" s="3" t="s">
        <v>29</v>
      </c>
      <c r="T47" s="3">
        <v>446.59</v>
      </c>
      <c r="U47" s="3">
        <v>192.57</v>
      </c>
      <c r="V47" s="3">
        <v>177.83</v>
      </c>
      <c r="W47" s="3">
        <v>76.19</v>
      </c>
    </row>
    <row r="48" spans="1:23" ht="60.75">
      <c r="A48" s="3" t="s">
        <v>23</v>
      </c>
      <c r="B48" s="3" t="s">
        <v>24</v>
      </c>
      <c r="C48" s="3" t="s">
        <v>35</v>
      </c>
      <c r="D48" s="3" t="s">
        <v>43</v>
      </c>
      <c r="E48" s="3" t="s">
        <v>30</v>
      </c>
      <c r="F48" s="3" t="s">
        <v>124</v>
      </c>
      <c r="G48" s="3">
        <v>2016</v>
      </c>
      <c r="H48" s="3" t="str">
        <f>CONCATENATE("64211080417")</f>
        <v>64211080417</v>
      </c>
      <c r="I48" s="3" t="s">
        <v>25</v>
      </c>
      <c r="J48" s="3" t="s">
        <v>26</v>
      </c>
      <c r="K48" s="3" t="str">
        <f t="shared" si="4"/>
        <v/>
      </c>
      <c r="L48" s="3" t="str">
        <f>CONCATENATE("13 13.1 4a")</f>
        <v>13 13.1 4a</v>
      </c>
      <c r="M48" s="3" t="str">
        <f>CONCATENATE("MZZGPP56H28F135M")</f>
        <v>MZZGPP56H28F135M</v>
      </c>
      <c r="N48" s="3" t="s">
        <v>125</v>
      </c>
      <c r="O48" s="3"/>
      <c r="P48" s="4">
        <v>42783</v>
      </c>
      <c r="Q48" s="3" t="s">
        <v>27</v>
      </c>
      <c r="R48" s="3" t="s">
        <v>28</v>
      </c>
      <c r="S48" s="3" t="s">
        <v>29</v>
      </c>
      <c r="T48" s="5">
        <v>1369.44</v>
      </c>
      <c r="U48" s="3">
        <v>590.5</v>
      </c>
      <c r="V48" s="3">
        <v>545.30999999999995</v>
      </c>
      <c r="W48" s="3">
        <v>233.63</v>
      </c>
    </row>
    <row r="49" spans="1:23" ht="60.75">
      <c r="A49" s="3" t="s">
        <v>23</v>
      </c>
      <c r="B49" s="3" t="s">
        <v>24</v>
      </c>
      <c r="C49" s="3" t="s">
        <v>35</v>
      </c>
      <c r="D49" s="3" t="s">
        <v>48</v>
      </c>
      <c r="E49" s="3" t="s">
        <v>30</v>
      </c>
      <c r="F49" s="3" t="s">
        <v>91</v>
      </c>
      <c r="G49" s="3">
        <v>2016</v>
      </c>
      <c r="H49" s="3" t="str">
        <f>CONCATENATE("64210581795")</f>
        <v>64210581795</v>
      </c>
      <c r="I49" s="3" t="s">
        <v>25</v>
      </c>
      <c r="J49" s="3" t="s">
        <v>26</v>
      </c>
      <c r="K49" s="3" t="str">
        <f t="shared" si="4"/>
        <v/>
      </c>
      <c r="L49" s="3" t="str">
        <f>CONCATENATE("13 13.1 4a")</f>
        <v>13 13.1 4a</v>
      </c>
      <c r="M49" s="3" t="str">
        <f>CONCATENATE("LBRLSS92P06B474R")</f>
        <v>LBRLSS92P06B474R</v>
      </c>
      <c r="N49" s="3" t="s">
        <v>126</v>
      </c>
      <c r="O49" s="3"/>
      <c r="P49" s="4">
        <v>42783</v>
      </c>
      <c r="Q49" s="3" t="s">
        <v>27</v>
      </c>
      <c r="R49" s="3" t="s">
        <v>28</v>
      </c>
      <c r="S49" s="3" t="s">
        <v>29</v>
      </c>
      <c r="T49" s="5">
        <v>2074.9899999999998</v>
      </c>
      <c r="U49" s="3">
        <v>894.74</v>
      </c>
      <c r="V49" s="3">
        <v>826.26</v>
      </c>
      <c r="W49" s="3">
        <v>353.99</v>
      </c>
    </row>
    <row r="50" spans="1:23" ht="72.75">
      <c r="A50" s="3" t="s">
        <v>23</v>
      </c>
      <c r="B50" s="3" t="s">
        <v>24</v>
      </c>
      <c r="C50" s="3" t="s">
        <v>35</v>
      </c>
      <c r="D50" s="3" t="s">
        <v>48</v>
      </c>
      <c r="E50" s="3" t="s">
        <v>32</v>
      </c>
      <c r="F50" s="3" t="s">
        <v>127</v>
      </c>
      <c r="G50" s="3">
        <v>2016</v>
      </c>
      <c r="H50" s="3" t="str">
        <f>CONCATENATE("64240613634")</f>
        <v>64240613634</v>
      </c>
      <c r="I50" s="3" t="s">
        <v>25</v>
      </c>
      <c r="J50" s="3" t="s">
        <v>26</v>
      </c>
      <c r="K50" s="3" t="str">
        <f t="shared" si="4"/>
        <v/>
      </c>
      <c r="L50" s="3" t="str">
        <f>CONCATENATE("11 11.1 4b")</f>
        <v>11 11.1 4b</v>
      </c>
      <c r="M50" s="3" t="str">
        <f>CONCATENATE("TBRLRD83R12G920H")</f>
        <v>TBRLRD83R12G920H</v>
      </c>
      <c r="N50" s="3" t="s">
        <v>128</v>
      </c>
      <c r="O50" s="3"/>
      <c r="P50" s="4">
        <v>42783</v>
      </c>
      <c r="Q50" s="3" t="s">
        <v>27</v>
      </c>
      <c r="R50" s="3" t="s">
        <v>28</v>
      </c>
      <c r="S50" s="3" t="s">
        <v>29</v>
      </c>
      <c r="T50" s="5">
        <v>4180.82</v>
      </c>
      <c r="U50" s="5">
        <v>1802.77</v>
      </c>
      <c r="V50" s="5">
        <v>1664.8</v>
      </c>
      <c r="W50" s="3">
        <v>713.25</v>
      </c>
    </row>
    <row r="51" spans="1:23" ht="60.75">
      <c r="A51" s="3" t="s">
        <v>23</v>
      </c>
      <c r="B51" s="3" t="s">
        <v>24</v>
      </c>
      <c r="C51" s="3" t="s">
        <v>35</v>
      </c>
      <c r="D51" s="3" t="s">
        <v>48</v>
      </c>
      <c r="E51" s="3" t="s">
        <v>32</v>
      </c>
      <c r="F51" s="3" t="s">
        <v>129</v>
      </c>
      <c r="G51" s="3">
        <v>2016</v>
      </c>
      <c r="H51" s="3" t="str">
        <f>CONCATENATE("64240275749")</f>
        <v>64240275749</v>
      </c>
      <c r="I51" s="3" t="s">
        <v>25</v>
      </c>
      <c r="J51" s="3" t="s">
        <v>26</v>
      </c>
      <c r="K51" s="3" t="str">
        <f t="shared" si="4"/>
        <v/>
      </c>
      <c r="L51" s="3" t="str">
        <f>CONCATENATE("11 11.1 4b")</f>
        <v>11 11.1 4b</v>
      </c>
      <c r="M51" s="3" t="str">
        <f>CONCATENATE("NRDGCR59A13L191T")</f>
        <v>NRDGCR59A13L191T</v>
      </c>
      <c r="N51" s="3" t="s">
        <v>130</v>
      </c>
      <c r="O51" s="3"/>
      <c r="P51" s="4">
        <v>42783</v>
      </c>
      <c r="Q51" s="3" t="s">
        <v>27</v>
      </c>
      <c r="R51" s="3" t="s">
        <v>28</v>
      </c>
      <c r="S51" s="3" t="s">
        <v>29</v>
      </c>
      <c r="T51" s="3">
        <v>314.61</v>
      </c>
      <c r="U51" s="3">
        <v>135.66</v>
      </c>
      <c r="V51" s="3">
        <v>125.28</v>
      </c>
      <c r="W51" s="3">
        <v>53.67</v>
      </c>
    </row>
    <row r="52" spans="1:23" ht="60.75">
      <c r="A52" s="3" t="s">
        <v>23</v>
      </c>
      <c r="B52" s="3" t="s">
        <v>24</v>
      </c>
      <c r="C52" s="3" t="s">
        <v>35</v>
      </c>
      <c r="D52" s="3" t="s">
        <v>43</v>
      </c>
      <c r="E52" s="3" t="s">
        <v>30</v>
      </c>
      <c r="F52" s="3" t="s">
        <v>131</v>
      </c>
      <c r="G52" s="3">
        <v>2016</v>
      </c>
      <c r="H52" s="3" t="str">
        <f>CONCATENATE("64240908174")</f>
        <v>64240908174</v>
      </c>
      <c r="I52" s="3" t="s">
        <v>25</v>
      </c>
      <c r="J52" s="3" t="s">
        <v>26</v>
      </c>
      <c r="K52" s="3" t="str">
        <f t="shared" si="4"/>
        <v/>
      </c>
      <c r="L52" s="3" t="str">
        <f>CONCATENATE("11 11.2 4b")</f>
        <v>11 11.2 4b</v>
      </c>
      <c r="M52" s="3" t="str">
        <f>CONCATENATE("LCRRRT66C05B846G")</f>
        <v>LCRRRT66C05B846G</v>
      </c>
      <c r="N52" s="3" t="s">
        <v>132</v>
      </c>
      <c r="O52" s="3"/>
      <c r="P52" s="4">
        <v>42783</v>
      </c>
      <c r="Q52" s="3" t="s">
        <v>27</v>
      </c>
      <c r="R52" s="3" t="s">
        <v>28</v>
      </c>
      <c r="S52" s="3" t="s">
        <v>29</v>
      </c>
      <c r="T52" s="5">
        <v>14387.13</v>
      </c>
      <c r="U52" s="5">
        <v>6203.73</v>
      </c>
      <c r="V52" s="5">
        <v>5728.96</v>
      </c>
      <c r="W52" s="5">
        <v>2454.44</v>
      </c>
    </row>
    <row r="53" spans="1:23" ht="60.75">
      <c r="A53" s="3" t="s">
        <v>23</v>
      </c>
      <c r="B53" s="3" t="s">
        <v>24</v>
      </c>
      <c r="C53" s="3" t="s">
        <v>35</v>
      </c>
      <c r="D53" s="3" t="s">
        <v>48</v>
      </c>
      <c r="E53" s="3" t="s">
        <v>30</v>
      </c>
      <c r="F53" s="3" t="s">
        <v>91</v>
      </c>
      <c r="G53" s="3">
        <v>2016</v>
      </c>
      <c r="H53" s="3" t="str">
        <f>CONCATENATE("64210528457")</f>
        <v>64210528457</v>
      </c>
      <c r="I53" s="3" t="s">
        <v>25</v>
      </c>
      <c r="J53" s="3" t="s">
        <v>26</v>
      </c>
      <c r="K53" s="3" t="str">
        <f t="shared" si="4"/>
        <v/>
      </c>
      <c r="L53" s="3" t="str">
        <f>CONCATENATE("13 13.1 4a")</f>
        <v>13 13.1 4a</v>
      </c>
      <c r="M53" s="3" t="str">
        <f>CONCATENATE("PLONRT52T46C267N")</f>
        <v>PLONRT52T46C267N</v>
      </c>
      <c r="N53" s="3" t="s">
        <v>133</v>
      </c>
      <c r="O53" s="3"/>
      <c r="P53" s="4">
        <v>42783</v>
      </c>
      <c r="Q53" s="3" t="s">
        <v>27</v>
      </c>
      <c r="R53" s="3" t="s">
        <v>28</v>
      </c>
      <c r="S53" s="3" t="s">
        <v>29</v>
      </c>
      <c r="T53" s="3">
        <v>517.51</v>
      </c>
      <c r="U53" s="3">
        <v>223.15</v>
      </c>
      <c r="V53" s="3">
        <v>206.07</v>
      </c>
      <c r="W53" s="3">
        <v>88.29</v>
      </c>
    </row>
    <row r="54" spans="1:23" ht="36.75">
      <c r="A54" s="3" t="s">
        <v>23</v>
      </c>
      <c r="B54" s="3" t="s">
        <v>24</v>
      </c>
      <c r="C54" s="3" t="s">
        <v>35</v>
      </c>
      <c r="D54" s="3" t="s">
        <v>43</v>
      </c>
      <c r="E54" s="3" t="s">
        <v>30</v>
      </c>
      <c r="F54" s="3" t="s">
        <v>76</v>
      </c>
      <c r="G54" s="3">
        <v>2016</v>
      </c>
      <c r="H54" s="3" t="str">
        <f>CONCATENATE("64210143885")</f>
        <v>64210143885</v>
      </c>
      <c r="I54" s="3" t="s">
        <v>25</v>
      </c>
      <c r="J54" s="3" t="s">
        <v>26</v>
      </c>
      <c r="K54" s="3" t="str">
        <f t="shared" si="4"/>
        <v/>
      </c>
      <c r="L54" s="3" t="str">
        <f>CONCATENATE("13 13.1 4a")</f>
        <v>13 13.1 4a</v>
      </c>
      <c r="M54" s="3" t="str">
        <f>CONCATENATE("02607030414")</f>
        <v>02607030414</v>
      </c>
      <c r="N54" s="3" t="s">
        <v>134</v>
      </c>
      <c r="O54" s="3"/>
      <c r="P54" s="4">
        <v>42783</v>
      </c>
      <c r="Q54" s="3" t="s">
        <v>27</v>
      </c>
      <c r="R54" s="3" t="s">
        <v>28</v>
      </c>
      <c r="S54" s="3" t="s">
        <v>29</v>
      </c>
      <c r="T54" s="5">
        <v>1785.1</v>
      </c>
      <c r="U54" s="3">
        <v>769.74</v>
      </c>
      <c r="V54" s="3">
        <v>710.83</v>
      </c>
      <c r="W54" s="3">
        <v>304.52999999999997</v>
      </c>
    </row>
    <row r="55" spans="1:23" ht="36.75">
      <c r="A55" s="3" t="s">
        <v>23</v>
      </c>
      <c r="B55" s="3" t="s">
        <v>24</v>
      </c>
      <c r="C55" s="3" t="s">
        <v>35</v>
      </c>
      <c r="D55" s="3" t="s">
        <v>39</v>
      </c>
      <c r="E55" s="3" t="s">
        <v>32</v>
      </c>
      <c r="F55" s="3" t="s">
        <v>69</v>
      </c>
      <c r="G55" s="3">
        <v>2016</v>
      </c>
      <c r="H55" s="3" t="str">
        <f>CONCATENATE("64210709925")</f>
        <v>64210709925</v>
      </c>
      <c r="I55" s="3" t="s">
        <v>25</v>
      </c>
      <c r="J55" s="3" t="s">
        <v>26</v>
      </c>
      <c r="K55" s="3" t="str">
        <f t="shared" si="4"/>
        <v/>
      </c>
      <c r="L55" s="3" t="str">
        <f>CONCATENATE("13 13.1 4a")</f>
        <v>13 13.1 4a</v>
      </c>
      <c r="M55" s="3" t="str">
        <f>CONCATENATE("00973030422")</f>
        <v>00973030422</v>
      </c>
      <c r="N55" s="3" t="s">
        <v>137</v>
      </c>
      <c r="O55" s="3"/>
      <c r="P55" s="4">
        <v>42783</v>
      </c>
      <c r="Q55" s="3" t="s">
        <v>27</v>
      </c>
      <c r="R55" s="3" t="s">
        <v>28</v>
      </c>
      <c r="S55" s="3" t="s">
        <v>29</v>
      </c>
      <c r="T55" s="5">
        <v>3960.55</v>
      </c>
      <c r="U55" s="5">
        <v>1707.79</v>
      </c>
      <c r="V55" s="5">
        <v>1577.09</v>
      </c>
      <c r="W55" s="3">
        <v>675.67</v>
      </c>
    </row>
    <row r="56" spans="1:23" ht="72.75">
      <c r="A56" s="3" t="s">
        <v>23</v>
      </c>
      <c r="B56" s="3" t="s">
        <v>24</v>
      </c>
      <c r="C56" s="3" t="s">
        <v>35</v>
      </c>
      <c r="D56" s="3" t="s">
        <v>36</v>
      </c>
      <c r="E56" s="3" t="s">
        <v>59</v>
      </c>
      <c r="F56" s="3" t="s">
        <v>62</v>
      </c>
      <c r="G56" s="3">
        <v>2016</v>
      </c>
      <c r="H56" s="3" t="str">
        <f>CONCATENATE("64240361416")</f>
        <v>64240361416</v>
      </c>
      <c r="I56" s="3" t="s">
        <v>25</v>
      </c>
      <c r="J56" s="3" t="s">
        <v>26</v>
      </c>
      <c r="K56" s="3" t="str">
        <f t="shared" si="4"/>
        <v/>
      </c>
      <c r="L56" s="3" t="str">
        <f>CONCATENATE("11 11.2 4b")</f>
        <v>11 11.2 4b</v>
      </c>
      <c r="M56" s="3" t="str">
        <f>CONCATENATE("FRVVNT84A13A462W")</f>
        <v>FRVVNT84A13A462W</v>
      </c>
      <c r="N56" s="3" t="s">
        <v>138</v>
      </c>
      <c r="O56" s="3"/>
      <c r="P56" s="4">
        <v>42783</v>
      </c>
      <c r="Q56" s="3" t="s">
        <v>27</v>
      </c>
      <c r="R56" s="3" t="s">
        <v>28</v>
      </c>
      <c r="S56" s="3" t="s">
        <v>29</v>
      </c>
      <c r="T56" s="5">
        <v>5462.31</v>
      </c>
      <c r="U56" s="5">
        <v>2355.35</v>
      </c>
      <c r="V56" s="5">
        <v>2175.09</v>
      </c>
      <c r="W56" s="3">
        <v>931.87</v>
      </c>
    </row>
    <row r="57" spans="1:23" ht="60.75">
      <c r="A57" s="3" t="s">
        <v>23</v>
      </c>
      <c r="B57" s="3" t="s">
        <v>24</v>
      </c>
      <c r="C57" s="3" t="s">
        <v>35</v>
      </c>
      <c r="D57" s="3" t="s">
        <v>43</v>
      </c>
      <c r="E57" s="3" t="s">
        <v>49</v>
      </c>
      <c r="F57" s="3" t="s">
        <v>139</v>
      </c>
      <c r="G57" s="3">
        <v>2016</v>
      </c>
      <c r="H57" s="3" t="str">
        <f>CONCATENATE("64210734428")</f>
        <v>64210734428</v>
      </c>
      <c r="I57" s="3" t="s">
        <v>25</v>
      </c>
      <c r="J57" s="3" t="s">
        <v>26</v>
      </c>
      <c r="K57" s="3" t="str">
        <f t="shared" si="4"/>
        <v/>
      </c>
      <c r="L57" s="3" t="str">
        <f>CONCATENATE("13 13.1 4a")</f>
        <v>13 13.1 4a</v>
      </c>
      <c r="M57" s="3" t="str">
        <f>CONCATENATE("ZCCDMS87H10L500J")</f>
        <v>ZCCDMS87H10L500J</v>
      </c>
      <c r="N57" s="3" t="s">
        <v>140</v>
      </c>
      <c r="O57" s="3"/>
      <c r="P57" s="4">
        <v>42783</v>
      </c>
      <c r="Q57" s="3" t="s">
        <v>27</v>
      </c>
      <c r="R57" s="3" t="s">
        <v>28</v>
      </c>
      <c r="S57" s="3" t="s">
        <v>29</v>
      </c>
      <c r="T57" s="3">
        <v>641.83000000000004</v>
      </c>
      <c r="U57" s="3">
        <v>276.76</v>
      </c>
      <c r="V57" s="3">
        <v>255.58</v>
      </c>
      <c r="W57" s="3">
        <v>109.49</v>
      </c>
    </row>
    <row r="58" spans="1:23" ht="36.75">
      <c r="A58" s="3" t="s">
        <v>23</v>
      </c>
      <c r="B58" s="3" t="s">
        <v>24</v>
      </c>
      <c r="C58" s="3" t="s">
        <v>35</v>
      </c>
      <c r="D58" s="3" t="s">
        <v>48</v>
      </c>
      <c r="E58" s="3" t="s">
        <v>34</v>
      </c>
      <c r="F58" s="3" t="s">
        <v>141</v>
      </c>
      <c r="G58" s="3">
        <v>2016</v>
      </c>
      <c r="H58" s="3" t="str">
        <f>CONCATENATE("64240733150")</f>
        <v>64240733150</v>
      </c>
      <c r="I58" s="3" t="s">
        <v>25</v>
      </c>
      <c r="J58" s="3" t="s">
        <v>26</v>
      </c>
      <c r="K58" s="3" t="str">
        <f t="shared" si="4"/>
        <v/>
      </c>
      <c r="L58" s="3" t="str">
        <f>CONCATENATE("11 11.2 4b")</f>
        <v>11 11.2 4b</v>
      </c>
      <c r="M58" s="3" t="str">
        <f>CONCATENATE("01652320431")</f>
        <v>01652320431</v>
      </c>
      <c r="N58" s="3" t="s">
        <v>142</v>
      </c>
      <c r="O58" s="3"/>
      <c r="P58" s="4">
        <v>42783</v>
      </c>
      <c r="Q58" s="3" t="s">
        <v>27</v>
      </c>
      <c r="R58" s="3" t="s">
        <v>28</v>
      </c>
      <c r="S58" s="3" t="s">
        <v>29</v>
      </c>
      <c r="T58" s="5">
        <v>10772.06</v>
      </c>
      <c r="U58" s="5">
        <v>4644.91</v>
      </c>
      <c r="V58" s="5">
        <v>4289.43</v>
      </c>
      <c r="W58" s="5">
        <v>1837.72</v>
      </c>
    </row>
    <row r="59" spans="1:23" ht="60.75">
      <c r="A59" s="3" t="s">
        <v>23</v>
      </c>
      <c r="B59" s="3" t="s">
        <v>24</v>
      </c>
      <c r="C59" s="3" t="s">
        <v>35</v>
      </c>
      <c r="D59" s="3" t="s">
        <v>48</v>
      </c>
      <c r="E59" s="3" t="s">
        <v>30</v>
      </c>
      <c r="F59" s="3" t="s">
        <v>91</v>
      </c>
      <c r="G59" s="3">
        <v>2016</v>
      </c>
      <c r="H59" s="3" t="str">
        <f>CONCATENATE("64240316667")</f>
        <v>64240316667</v>
      </c>
      <c r="I59" s="3" t="s">
        <v>25</v>
      </c>
      <c r="J59" s="3" t="s">
        <v>26</v>
      </c>
      <c r="K59" s="3" t="str">
        <f t="shared" si="4"/>
        <v/>
      </c>
      <c r="L59" s="3" t="str">
        <f>CONCATENATE("11 11.1 4b")</f>
        <v>11 11.1 4b</v>
      </c>
      <c r="M59" s="3" t="str">
        <f>CONCATENATE("LCCLCU66B19Z133V")</f>
        <v>LCCLCU66B19Z133V</v>
      </c>
      <c r="N59" s="3" t="s">
        <v>143</v>
      </c>
      <c r="O59" s="3"/>
      <c r="P59" s="4">
        <v>42783</v>
      </c>
      <c r="Q59" s="3" t="s">
        <v>27</v>
      </c>
      <c r="R59" s="3" t="s">
        <v>28</v>
      </c>
      <c r="S59" s="3" t="s">
        <v>29</v>
      </c>
      <c r="T59" s="5">
        <v>2201.73</v>
      </c>
      <c r="U59" s="3">
        <v>949.39</v>
      </c>
      <c r="V59" s="3">
        <v>876.73</v>
      </c>
      <c r="W59" s="3">
        <v>375.61</v>
      </c>
    </row>
    <row r="60" spans="1:23" ht="60.75">
      <c r="A60" s="3" t="s">
        <v>23</v>
      </c>
      <c r="B60" s="3" t="s">
        <v>24</v>
      </c>
      <c r="C60" s="3" t="s">
        <v>35</v>
      </c>
      <c r="D60" s="3" t="s">
        <v>48</v>
      </c>
      <c r="E60" s="3" t="s">
        <v>34</v>
      </c>
      <c r="F60" s="3" t="s">
        <v>141</v>
      </c>
      <c r="G60" s="3">
        <v>2016</v>
      </c>
      <c r="H60" s="3" t="str">
        <f>CONCATENATE("64240864559")</f>
        <v>64240864559</v>
      </c>
      <c r="I60" s="3" t="s">
        <v>31</v>
      </c>
      <c r="J60" s="3" t="s">
        <v>26</v>
      </c>
      <c r="K60" s="3" t="str">
        <f t="shared" si="4"/>
        <v/>
      </c>
      <c r="L60" s="3" t="str">
        <f>CONCATENATE("11 11.1 4b")</f>
        <v>11 11.1 4b</v>
      </c>
      <c r="M60" s="3" t="str">
        <f>CONCATENATE("BSSMBT37M50D763C")</f>
        <v>BSSMBT37M50D763C</v>
      </c>
      <c r="N60" s="3" t="s">
        <v>144</v>
      </c>
      <c r="O60" s="3"/>
      <c r="P60" s="4">
        <v>42783</v>
      </c>
      <c r="Q60" s="3" t="s">
        <v>27</v>
      </c>
      <c r="R60" s="3" t="s">
        <v>28</v>
      </c>
      <c r="S60" s="3" t="s">
        <v>29</v>
      </c>
      <c r="T60" s="5">
        <v>1669.07</v>
      </c>
      <c r="U60" s="3">
        <v>719.7</v>
      </c>
      <c r="V60" s="3">
        <v>664.62</v>
      </c>
      <c r="W60" s="3">
        <v>284.75</v>
      </c>
    </row>
    <row r="61" spans="1:23" ht="60.75">
      <c r="A61" s="3" t="s">
        <v>23</v>
      </c>
      <c r="B61" s="3" t="s">
        <v>24</v>
      </c>
      <c r="C61" s="3" t="s">
        <v>35</v>
      </c>
      <c r="D61" s="3" t="s">
        <v>39</v>
      </c>
      <c r="E61" s="3" t="s">
        <v>30</v>
      </c>
      <c r="F61" s="3" t="s">
        <v>72</v>
      </c>
      <c r="G61" s="3">
        <v>2016</v>
      </c>
      <c r="H61" s="3" t="str">
        <f>CONCATENATE("64240369419")</f>
        <v>64240369419</v>
      </c>
      <c r="I61" s="3" t="s">
        <v>25</v>
      </c>
      <c r="J61" s="3" t="s">
        <v>26</v>
      </c>
      <c r="K61" s="3" t="str">
        <f t="shared" si="4"/>
        <v/>
      </c>
      <c r="L61" s="3" t="str">
        <f>CONCATENATE("11 11.2 4b")</f>
        <v>11 11.2 4b</v>
      </c>
      <c r="M61" s="3" t="str">
        <f>CONCATENATE("TTTLCU75A07A271F")</f>
        <v>TTTLCU75A07A271F</v>
      </c>
      <c r="N61" s="3" t="s">
        <v>145</v>
      </c>
      <c r="O61" s="3"/>
      <c r="P61" s="4">
        <v>42783</v>
      </c>
      <c r="Q61" s="3" t="s">
        <v>27</v>
      </c>
      <c r="R61" s="3" t="s">
        <v>28</v>
      </c>
      <c r="S61" s="3" t="s">
        <v>29</v>
      </c>
      <c r="T61" s="3">
        <v>435.69</v>
      </c>
      <c r="U61" s="3">
        <v>187.87</v>
      </c>
      <c r="V61" s="3">
        <v>173.49</v>
      </c>
      <c r="W61" s="3">
        <v>74.33</v>
      </c>
    </row>
    <row r="62" spans="1:23" ht="36.75">
      <c r="A62" s="3" t="s">
        <v>23</v>
      </c>
      <c r="B62" s="3" t="s">
        <v>24</v>
      </c>
      <c r="C62" s="3" t="s">
        <v>35</v>
      </c>
      <c r="D62" s="3" t="s">
        <v>43</v>
      </c>
      <c r="E62" s="3" t="s">
        <v>34</v>
      </c>
      <c r="F62" s="3" t="s">
        <v>146</v>
      </c>
      <c r="G62" s="3">
        <v>2016</v>
      </c>
      <c r="H62" s="3" t="str">
        <f>CONCATENATE("64210560609")</f>
        <v>64210560609</v>
      </c>
      <c r="I62" s="3" t="s">
        <v>25</v>
      </c>
      <c r="J62" s="3" t="s">
        <v>26</v>
      </c>
      <c r="K62" s="3" t="str">
        <f t="shared" si="4"/>
        <v/>
      </c>
      <c r="L62" s="3" t="str">
        <f>CONCATENATE("13 13.1 4a")</f>
        <v>13 13.1 4a</v>
      </c>
      <c r="M62" s="3" t="str">
        <f>CONCATENATE("82002150413")</f>
        <v>82002150413</v>
      </c>
      <c r="N62" s="3" t="s">
        <v>147</v>
      </c>
      <c r="O62" s="3"/>
      <c r="P62" s="4">
        <v>42783</v>
      </c>
      <c r="Q62" s="3" t="s">
        <v>27</v>
      </c>
      <c r="R62" s="3" t="s">
        <v>28</v>
      </c>
      <c r="S62" s="3" t="s">
        <v>29</v>
      </c>
      <c r="T62" s="5">
        <v>4590</v>
      </c>
      <c r="U62" s="5">
        <v>1979.21</v>
      </c>
      <c r="V62" s="5">
        <v>1827.74</v>
      </c>
      <c r="W62" s="3">
        <v>783.05</v>
      </c>
    </row>
    <row r="63" spans="1:23" ht="60.75">
      <c r="A63" s="3" t="s">
        <v>23</v>
      </c>
      <c r="B63" s="3" t="s">
        <v>24</v>
      </c>
      <c r="C63" s="3" t="s">
        <v>35</v>
      </c>
      <c r="D63" s="3" t="s">
        <v>43</v>
      </c>
      <c r="E63" s="3" t="s">
        <v>32</v>
      </c>
      <c r="F63" s="3" t="s">
        <v>148</v>
      </c>
      <c r="G63" s="3">
        <v>2016</v>
      </c>
      <c r="H63" s="3" t="str">
        <f>CONCATENATE("64240426037")</f>
        <v>64240426037</v>
      </c>
      <c r="I63" s="3" t="s">
        <v>25</v>
      </c>
      <c r="J63" s="3" t="s">
        <v>26</v>
      </c>
      <c r="K63" s="3" t="str">
        <f t="shared" si="4"/>
        <v/>
      </c>
      <c r="L63" s="3" t="str">
        <f>CONCATENATE("11 11.2 4b")</f>
        <v>11 11.2 4b</v>
      </c>
      <c r="M63" s="3" t="str">
        <f>CONCATENATE("GBBMRS56B55L500M")</f>
        <v>GBBMRS56B55L500M</v>
      </c>
      <c r="N63" s="3" t="s">
        <v>149</v>
      </c>
      <c r="O63" s="3"/>
      <c r="P63" s="4">
        <v>42783</v>
      </c>
      <c r="Q63" s="3" t="s">
        <v>27</v>
      </c>
      <c r="R63" s="3" t="s">
        <v>28</v>
      </c>
      <c r="S63" s="3" t="s">
        <v>29</v>
      </c>
      <c r="T63" s="5">
        <v>1525.72</v>
      </c>
      <c r="U63" s="3">
        <v>657.89</v>
      </c>
      <c r="V63" s="3">
        <v>607.54</v>
      </c>
      <c r="W63" s="3">
        <v>260.29000000000002</v>
      </c>
    </row>
    <row r="64" spans="1:23" ht="60.75">
      <c r="A64" s="3" t="s">
        <v>23</v>
      </c>
      <c r="B64" s="3" t="s">
        <v>24</v>
      </c>
      <c r="C64" s="3" t="s">
        <v>35</v>
      </c>
      <c r="D64" s="3" t="s">
        <v>36</v>
      </c>
      <c r="E64" s="3" t="s">
        <v>30</v>
      </c>
      <c r="F64" s="3" t="s">
        <v>37</v>
      </c>
      <c r="G64" s="3">
        <v>2016</v>
      </c>
      <c r="H64" s="3" t="str">
        <f>CONCATENATE("64210662264")</f>
        <v>64210662264</v>
      </c>
      <c r="I64" s="3" t="s">
        <v>25</v>
      </c>
      <c r="J64" s="3" t="s">
        <v>26</v>
      </c>
      <c r="K64" s="3" t="str">
        <f t="shared" si="4"/>
        <v/>
      </c>
      <c r="L64" s="3" t="str">
        <f>CONCATENATE("13 13.1 4a")</f>
        <v>13 13.1 4a</v>
      </c>
      <c r="M64" s="3" t="str">
        <f>CONCATENATE("BNCDNC62M13L103A")</f>
        <v>BNCDNC62M13L103A</v>
      </c>
      <c r="N64" s="3" t="s">
        <v>150</v>
      </c>
      <c r="O64" s="3"/>
      <c r="P64" s="4">
        <v>42783</v>
      </c>
      <c r="Q64" s="3" t="s">
        <v>27</v>
      </c>
      <c r="R64" s="3" t="s">
        <v>28</v>
      </c>
      <c r="S64" s="3" t="s">
        <v>29</v>
      </c>
      <c r="T64" s="5">
        <v>2830.14</v>
      </c>
      <c r="U64" s="5">
        <v>1220.3599999999999</v>
      </c>
      <c r="V64" s="5">
        <v>1126.96</v>
      </c>
      <c r="W64" s="3">
        <v>482.82</v>
      </c>
    </row>
    <row r="65" spans="1:23" ht="36.75">
      <c r="A65" s="3" t="s">
        <v>23</v>
      </c>
      <c r="B65" s="3" t="s">
        <v>24</v>
      </c>
      <c r="C65" s="3" t="s">
        <v>35</v>
      </c>
      <c r="D65" s="3" t="s">
        <v>36</v>
      </c>
      <c r="E65" s="3" t="s">
        <v>42</v>
      </c>
      <c r="F65" s="3" t="s">
        <v>42</v>
      </c>
      <c r="G65" s="3">
        <v>2016</v>
      </c>
      <c r="H65" s="3" t="str">
        <f>CONCATENATE("64240350849")</f>
        <v>64240350849</v>
      </c>
      <c r="I65" s="3" t="s">
        <v>25</v>
      </c>
      <c r="J65" s="3" t="s">
        <v>26</v>
      </c>
      <c r="K65" s="3" t="str">
        <f t="shared" si="4"/>
        <v/>
      </c>
      <c r="L65" s="3" t="str">
        <f>CONCATENATE("11 11.2 4b")</f>
        <v>11 11.2 4b</v>
      </c>
      <c r="M65" s="3" t="str">
        <f>CONCATENATE("01330740448")</f>
        <v>01330740448</v>
      </c>
      <c r="N65" s="3" t="s">
        <v>151</v>
      </c>
      <c r="O65" s="3"/>
      <c r="P65" s="4">
        <v>42783</v>
      </c>
      <c r="Q65" s="3" t="s">
        <v>27</v>
      </c>
      <c r="R65" s="3" t="s">
        <v>28</v>
      </c>
      <c r="S65" s="3" t="s">
        <v>29</v>
      </c>
      <c r="T65" s="5">
        <v>3172.04</v>
      </c>
      <c r="U65" s="5">
        <v>1367.78</v>
      </c>
      <c r="V65" s="5">
        <v>1263.1099999999999</v>
      </c>
      <c r="W65" s="3">
        <v>541.15</v>
      </c>
    </row>
    <row r="66" spans="1:23" ht="72.75">
      <c r="A66" s="3" t="s">
        <v>23</v>
      </c>
      <c r="B66" s="3" t="s">
        <v>24</v>
      </c>
      <c r="C66" s="3" t="s">
        <v>35</v>
      </c>
      <c r="D66" s="3" t="s">
        <v>43</v>
      </c>
      <c r="E66" s="3" t="s">
        <v>30</v>
      </c>
      <c r="F66" s="3" t="s">
        <v>76</v>
      </c>
      <c r="G66" s="3">
        <v>2016</v>
      </c>
      <c r="H66" s="3" t="str">
        <f>CONCATENATE("64210256745")</f>
        <v>64210256745</v>
      </c>
      <c r="I66" s="3" t="s">
        <v>25</v>
      </c>
      <c r="J66" s="3" t="s">
        <v>26</v>
      </c>
      <c r="K66" s="3" t="str">
        <f t="shared" si="4"/>
        <v/>
      </c>
      <c r="L66" s="3" t="str">
        <f>CONCATENATE("13 13.1 4a")</f>
        <v>13 13.1 4a</v>
      </c>
      <c r="M66" s="3" t="str">
        <f>CONCATENATE("MRNMRT60B64A740Q")</f>
        <v>MRNMRT60B64A740Q</v>
      </c>
      <c r="N66" s="3" t="s">
        <v>152</v>
      </c>
      <c r="O66" s="3"/>
      <c r="P66" s="4">
        <v>42783</v>
      </c>
      <c r="Q66" s="3" t="s">
        <v>27</v>
      </c>
      <c r="R66" s="3" t="s">
        <v>28</v>
      </c>
      <c r="S66" s="3" t="s">
        <v>29</v>
      </c>
      <c r="T66" s="5">
        <v>2396.73</v>
      </c>
      <c r="U66" s="5">
        <v>1033.47</v>
      </c>
      <c r="V66" s="3">
        <v>954.38</v>
      </c>
      <c r="W66" s="3">
        <v>408.88</v>
      </c>
    </row>
    <row r="67" spans="1:23" ht="72.75">
      <c r="A67" s="3" t="s">
        <v>23</v>
      </c>
      <c r="B67" s="3" t="s">
        <v>24</v>
      </c>
      <c r="C67" s="3" t="s">
        <v>35</v>
      </c>
      <c r="D67" s="3" t="s">
        <v>36</v>
      </c>
      <c r="E67" s="3" t="s">
        <v>42</v>
      </c>
      <c r="F67" s="3" t="s">
        <v>42</v>
      </c>
      <c r="G67" s="3">
        <v>2016</v>
      </c>
      <c r="H67" s="3" t="str">
        <f>CONCATENATE("64240306957")</f>
        <v>64240306957</v>
      </c>
      <c r="I67" s="3" t="s">
        <v>25</v>
      </c>
      <c r="J67" s="3" t="s">
        <v>26</v>
      </c>
      <c r="K67" s="3" t="str">
        <f t="shared" si="4"/>
        <v/>
      </c>
      <c r="L67" s="3" t="str">
        <f>CONCATENATE("11 11.2 4b")</f>
        <v>11 11.2 4b</v>
      </c>
      <c r="M67" s="3" t="str">
        <f>CONCATENATE("RMGGNE41M05H321S")</f>
        <v>RMGGNE41M05H321S</v>
      </c>
      <c r="N67" s="3" t="s">
        <v>153</v>
      </c>
      <c r="O67" s="3"/>
      <c r="P67" s="4">
        <v>42783</v>
      </c>
      <c r="Q67" s="3" t="s">
        <v>27</v>
      </c>
      <c r="R67" s="3" t="s">
        <v>28</v>
      </c>
      <c r="S67" s="3" t="s">
        <v>29</v>
      </c>
      <c r="T67" s="5">
        <v>1671.32</v>
      </c>
      <c r="U67" s="3">
        <v>720.67</v>
      </c>
      <c r="V67" s="3">
        <v>665.52</v>
      </c>
      <c r="W67" s="3">
        <v>285.13</v>
      </c>
    </row>
    <row r="68" spans="1:23" ht="60.75">
      <c r="A68" s="3" t="s">
        <v>23</v>
      </c>
      <c r="B68" s="3" t="s">
        <v>24</v>
      </c>
      <c r="C68" s="3" t="s">
        <v>35</v>
      </c>
      <c r="D68" s="3" t="s">
        <v>36</v>
      </c>
      <c r="E68" s="3" t="s">
        <v>30</v>
      </c>
      <c r="F68" s="3" t="s">
        <v>37</v>
      </c>
      <c r="G68" s="3">
        <v>2016</v>
      </c>
      <c r="H68" s="3" t="str">
        <f>CONCATENATE("64240411617")</f>
        <v>64240411617</v>
      </c>
      <c r="I68" s="3" t="s">
        <v>25</v>
      </c>
      <c r="J68" s="3" t="s">
        <v>26</v>
      </c>
      <c r="K68" s="3" t="str">
        <f t="shared" si="4"/>
        <v/>
      </c>
      <c r="L68" s="3" t="str">
        <f>CONCATENATE("10 10.1 4b")</f>
        <v>10 10.1 4b</v>
      </c>
      <c r="M68" s="3" t="str">
        <f>CONCATENATE("GMNPRI61L28F415R")</f>
        <v>GMNPRI61L28F415R</v>
      </c>
      <c r="N68" s="3" t="s">
        <v>154</v>
      </c>
      <c r="O68" s="3"/>
      <c r="P68" s="4">
        <v>42783</v>
      </c>
      <c r="Q68" s="3" t="s">
        <v>27</v>
      </c>
      <c r="R68" s="3" t="s">
        <v>28</v>
      </c>
      <c r="S68" s="3" t="s">
        <v>29</v>
      </c>
      <c r="T68" s="5">
        <v>3345.8</v>
      </c>
      <c r="U68" s="5">
        <v>1442.71</v>
      </c>
      <c r="V68" s="5">
        <v>1332.3</v>
      </c>
      <c r="W68" s="3">
        <v>570.79</v>
      </c>
    </row>
    <row r="69" spans="1:23" ht="60.75">
      <c r="A69" s="3" t="s">
        <v>23</v>
      </c>
      <c r="B69" s="3" t="s">
        <v>24</v>
      </c>
      <c r="C69" s="3" t="s">
        <v>35</v>
      </c>
      <c r="D69" s="3" t="s">
        <v>36</v>
      </c>
      <c r="E69" s="3" t="s">
        <v>30</v>
      </c>
      <c r="F69" s="3" t="s">
        <v>37</v>
      </c>
      <c r="G69" s="3">
        <v>2016</v>
      </c>
      <c r="H69" s="3" t="str">
        <f>CONCATENATE("64240588091")</f>
        <v>64240588091</v>
      </c>
      <c r="I69" s="3" t="s">
        <v>25</v>
      </c>
      <c r="J69" s="3" t="s">
        <v>26</v>
      </c>
      <c r="K69" s="3" t="str">
        <f t="shared" si="4"/>
        <v/>
      </c>
      <c r="L69" s="3" t="str">
        <f>CONCATENATE("11 11.1 4b")</f>
        <v>11 11.1 4b</v>
      </c>
      <c r="M69" s="3" t="str">
        <f>CONCATENATE("VTTMNL78L60H769R")</f>
        <v>VTTMNL78L60H769R</v>
      </c>
      <c r="N69" s="3" t="s">
        <v>155</v>
      </c>
      <c r="O69" s="3"/>
      <c r="P69" s="4">
        <v>42783</v>
      </c>
      <c r="Q69" s="3" t="s">
        <v>27</v>
      </c>
      <c r="R69" s="3" t="s">
        <v>28</v>
      </c>
      <c r="S69" s="3" t="s">
        <v>29</v>
      </c>
      <c r="T69" s="5">
        <v>3005.62</v>
      </c>
      <c r="U69" s="5">
        <v>1296.02</v>
      </c>
      <c r="V69" s="5">
        <v>1196.8399999999999</v>
      </c>
      <c r="W69" s="3">
        <v>512.76</v>
      </c>
    </row>
    <row r="70" spans="1:23" ht="60.75">
      <c r="A70" s="3" t="s">
        <v>23</v>
      </c>
      <c r="B70" s="3" t="s">
        <v>24</v>
      </c>
      <c r="C70" s="3" t="s">
        <v>35</v>
      </c>
      <c r="D70" s="3" t="s">
        <v>39</v>
      </c>
      <c r="E70" s="3" t="s">
        <v>30</v>
      </c>
      <c r="F70" s="3" t="s">
        <v>84</v>
      </c>
      <c r="G70" s="3">
        <v>2016</v>
      </c>
      <c r="H70" s="3" t="str">
        <f>CONCATENATE("64240244448")</f>
        <v>64240244448</v>
      </c>
      <c r="I70" s="3" t="s">
        <v>25</v>
      </c>
      <c r="J70" s="3" t="s">
        <v>26</v>
      </c>
      <c r="K70" s="3" t="str">
        <f t="shared" si="4"/>
        <v/>
      </c>
      <c r="L70" s="3" t="str">
        <f>CONCATENATE("11 11.2 4b")</f>
        <v>11 11.2 4b</v>
      </c>
      <c r="M70" s="3" t="str">
        <f>CONCATENATE("CSLFNC61H05I608M")</f>
        <v>CSLFNC61H05I608M</v>
      </c>
      <c r="N70" s="3" t="s">
        <v>156</v>
      </c>
      <c r="O70" s="3"/>
      <c r="P70" s="4">
        <v>42783</v>
      </c>
      <c r="Q70" s="3" t="s">
        <v>27</v>
      </c>
      <c r="R70" s="3" t="s">
        <v>28</v>
      </c>
      <c r="S70" s="3" t="s">
        <v>29</v>
      </c>
      <c r="T70" s="5">
        <v>9453.76</v>
      </c>
      <c r="U70" s="5">
        <v>4076.46</v>
      </c>
      <c r="V70" s="5">
        <v>3764.49</v>
      </c>
      <c r="W70" s="5">
        <v>1612.81</v>
      </c>
    </row>
    <row r="71" spans="1:23" ht="60.75">
      <c r="A71" s="3" t="s">
        <v>23</v>
      </c>
      <c r="B71" s="3" t="s">
        <v>24</v>
      </c>
      <c r="C71" s="3" t="s">
        <v>35</v>
      </c>
      <c r="D71" s="3" t="s">
        <v>48</v>
      </c>
      <c r="E71" s="3" t="s">
        <v>30</v>
      </c>
      <c r="F71" s="3" t="s">
        <v>157</v>
      </c>
      <c r="G71" s="3">
        <v>2016</v>
      </c>
      <c r="H71" s="3" t="str">
        <f>CONCATENATE("64770239859")</f>
        <v>64770239859</v>
      </c>
      <c r="I71" s="3" t="s">
        <v>25</v>
      </c>
      <c r="J71" s="3" t="s">
        <v>52</v>
      </c>
      <c r="K71" s="3" t="str">
        <f>CONCATENATE("214")</f>
        <v>214</v>
      </c>
      <c r="L71" s="3" t="str">
        <f>CONCATENATE("11 11.2 4b")</f>
        <v>11 11.2 4b</v>
      </c>
      <c r="M71" s="3" t="str">
        <f>CONCATENATE("PZZGNN45T67H876H")</f>
        <v>PZZGNN45T67H876H</v>
      </c>
      <c r="N71" s="3" t="s">
        <v>158</v>
      </c>
      <c r="O71" s="3"/>
      <c r="P71" s="4">
        <v>42783</v>
      </c>
      <c r="Q71" s="3" t="s">
        <v>27</v>
      </c>
      <c r="R71" s="3" t="s">
        <v>28</v>
      </c>
      <c r="S71" s="3" t="s">
        <v>29</v>
      </c>
      <c r="T71" s="5">
        <v>1593.71</v>
      </c>
      <c r="U71" s="3">
        <v>687.21</v>
      </c>
      <c r="V71" s="3">
        <v>634.62</v>
      </c>
      <c r="W71" s="3">
        <v>271.88</v>
      </c>
    </row>
    <row r="72" spans="1:23" ht="60.75">
      <c r="A72" s="3" t="s">
        <v>23</v>
      </c>
      <c r="B72" s="3" t="s">
        <v>24</v>
      </c>
      <c r="C72" s="3" t="s">
        <v>35</v>
      </c>
      <c r="D72" s="3" t="s">
        <v>48</v>
      </c>
      <c r="E72" s="3" t="s">
        <v>32</v>
      </c>
      <c r="F72" s="3" t="s">
        <v>69</v>
      </c>
      <c r="G72" s="3">
        <v>2016</v>
      </c>
      <c r="H72" s="3" t="str">
        <f>CONCATENATE("64240581518")</f>
        <v>64240581518</v>
      </c>
      <c r="I72" s="3" t="s">
        <v>25</v>
      </c>
      <c r="J72" s="3" t="s">
        <v>26</v>
      </c>
      <c r="K72" s="3" t="str">
        <f t="shared" ref="K72:K135" si="5">CONCATENATE("")</f>
        <v/>
      </c>
      <c r="L72" s="3" t="str">
        <f>CONCATENATE("11 11.2 4b")</f>
        <v>11 11.2 4b</v>
      </c>
      <c r="M72" s="3" t="str">
        <f>CONCATENATE("MCARLL58E54I661W")</f>
        <v>MCARLL58E54I661W</v>
      </c>
      <c r="N72" s="3" t="s">
        <v>159</v>
      </c>
      <c r="O72" s="3"/>
      <c r="P72" s="4">
        <v>42783</v>
      </c>
      <c r="Q72" s="3" t="s">
        <v>27</v>
      </c>
      <c r="R72" s="3" t="s">
        <v>28</v>
      </c>
      <c r="S72" s="3" t="s">
        <v>29</v>
      </c>
      <c r="T72" s="5">
        <v>2230</v>
      </c>
      <c r="U72" s="3">
        <v>961.58</v>
      </c>
      <c r="V72" s="3">
        <v>887.99</v>
      </c>
      <c r="W72" s="3">
        <v>380.43</v>
      </c>
    </row>
    <row r="73" spans="1:23" ht="60.75">
      <c r="A73" s="3" t="s">
        <v>23</v>
      </c>
      <c r="B73" s="3" t="s">
        <v>24</v>
      </c>
      <c r="C73" s="3" t="s">
        <v>35</v>
      </c>
      <c r="D73" s="3" t="s">
        <v>48</v>
      </c>
      <c r="E73" s="3" t="s">
        <v>33</v>
      </c>
      <c r="F73" s="3" t="s">
        <v>160</v>
      </c>
      <c r="G73" s="3">
        <v>2016</v>
      </c>
      <c r="H73" s="3" t="str">
        <f>CONCATENATE("64240594495")</f>
        <v>64240594495</v>
      </c>
      <c r="I73" s="3" t="s">
        <v>25</v>
      </c>
      <c r="J73" s="3" t="s">
        <v>26</v>
      </c>
      <c r="K73" s="3" t="str">
        <f t="shared" si="5"/>
        <v/>
      </c>
      <c r="L73" s="3" t="str">
        <f>CONCATENATE("11 11.2 4b")</f>
        <v>11 11.2 4b</v>
      </c>
      <c r="M73" s="3" t="str">
        <f>CONCATENATE("SBBMRZ58R08M078P")</f>
        <v>SBBMRZ58R08M078P</v>
      </c>
      <c r="N73" s="3" t="s">
        <v>161</v>
      </c>
      <c r="O73" s="3"/>
      <c r="P73" s="4">
        <v>42783</v>
      </c>
      <c r="Q73" s="3" t="s">
        <v>27</v>
      </c>
      <c r="R73" s="3" t="s">
        <v>28</v>
      </c>
      <c r="S73" s="3" t="s">
        <v>29</v>
      </c>
      <c r="T73" s="3">
        <v>249.64</v>
      </c>
      <c r="U73" s="3">
        <v>107.64</v>
      </c>
      <c r="V73" s="3">
        <v>99.41</v>
      </c>
      <c r="W73" s="3">
        <v>42.59</v>
      </c>
    </row>
    <row r="74" spans="1:23" ht="60.75">
      <c r="A74" s="3" t="s">
        <v>23</v>
      </c>
      <c r="B74" s="3" t="s">
        <v>24</v>
      </c>
      <c r="C74" s="3" t="s">
        <v>35</v>
      </c>
      <c r="D74" s="3" t="s">
        <v>48</v>
      </c>
      <c r="E74" s="3" t="s">
        <v>49</v>
      </c>
      <c r="F74" s="3" t="s">
        <v>50</v>
      </c>
      <c r="G74" s="3">
        <v>2016</v>
      </c>
      <c r="H74" s="3" t="str">
        <f>CONCATENATE("64240699708")</f>
        <v>64240699708</v>
      </c>
      <c r="I74" s="3" t="s">
        <v>25</v>
      </c>
      <c r="J74" s="3" t="s">
        <v>26</v>
      </c>
      <c r="K74" s="3" t="str">
        <f t="shared" si="5"/>
        <v/>
      </c>
      <c r="L74" s="3" t="str">
        <f>CONCATENATE("11 11.1 4b")</f>
        <v>11 11.1 4b</v>
      </c>
      <c r="M74" s="3" t="str">
        <f>CONCATENATE("PRMJRU95S23I156U")</f>
        <v>PRMJRU95S23I156U</v>
      </c>
      <c r="N74" s="3" t="s">
        <v>162</v>
      </c>
      <c r="O74" s="3"/>
      <c r="P74" s="4">
        <v>42783</v>
      </c>
      <c r="Q74" s="3" t="s">
        <v>27</v>
      </c>
      <c r="R74" s="3" t="s">
        <v>28</v>
      </c>
      <c r="S74" s="3" t="s">
        <v>29</v>
      </c>
      <c r="T74" s="5">
        <v>3423.23</v>
      </c>
      <c r="U74" s="5">
        <v>1476.1</v>
      </c>
      <c r="V74" s="5">
        <v>1363.13</v>
      </c>
      <c r="W74" s="3">
        <v>584</v>
      </c>
    </row>
    <row r="75" spans="1:23" ht="48.75">
      <c r="A75" s="3" t="s">
        <v>23</v>
      </c>
      <c r="B75" s="3" t="s">
        <v>24</v>
      </c>
      <c r="C75" s="3" t="s">
        <v>35</v>
      </c>
      <c r="D75" s="3" t="s">
        <v>43</v>
      </c>
      <c r="E75" s="3" t="s">
        <v>49</v>
      </c>
      <c r="F75" s="3" t="s">
        <v>139</v>
      </c>
      <c r="G75" s="3">
        <v>2016</v>
      </c>
      <c r="H75" s="3" t="str">
        <f>CONCATENATE("64210884991")</f>
        <v>64210884991</v>
      </c>
      <c r="I75" s="3" t="s">
        <v>25</v>
      </c>
      <c r="J75" s="3" t="s">
        <v>26</v>
      </c>
      <c r="K75" s="3" t="str">
        <f t="shared" si="5"/>
        <v/>
      </c>
      <c r="L75" s="3" t="str">
        <f>CONCATENATE("13 13.1 4a")</f>
        <v>13 13.1 4a</v>
      </c>
      <c r="M75" s="3" t="str">
        <f>CONCATENATE("CCCFST43E22I459P")</f>
        <v>CCCFST43E22I459P</v>
      </c>
      <c r="N75" s="3" t="s">
        <v>163</v>
      </c>
      <c r="O75" s="3"/>
      <c r="P75" s="4">
        <v>42783</v>
      </c>
      <c r="Q75" s="3" t="s">
        <v>27</v>
      </c>
      <c r="R75" s="3" t="s">
        <v>28</v>
      </c>
      <c r="S75" s="3" t="s">
        <v>29</v>
      </c>
      <c r="T75" s="5">
        <v>4982.9399999999996</v>
      </c>
      <c r="U75" s="5">
        <v>2148.64</v>
      </c>
      <c r="V75" s="5">
        <v>1984.21</v>
      </c>
      <c r="W75" s="3">
        <v>850.09</v>
      </c>
    </row>
    <row r="76" spans="1:23" ht="60.75">
      <c r="A76" s="3" t="s">
        <v>23</v>
      </c>
      <c r="B76" s="3" t="s">
        <v>24</v>
      </c>
      <c r="C76" s="3" t="s">
        <v>35</v>
      </c>
      <c r="D76" s="3" t="s">
        <v>48</v>
      </c>
      <c r="E76" s="3" t="s">
        <v>30</v>
      </c>
      <c r="F76" s="3" t="s">
        <v>157</v>
      </c>
      <c r="G76" s="3">
        <v>2016</v>
      </c>
      <c r="H76" s="3" t="str">
        <f>CONCATENATE("64240334520")</f>
        <v>64240334520</v>
      </c>
      <c r="I76" s="3" t="s">
        <v>25</v>
      </c>
      <c r="J76" s="3" t="s">
        <v>26</v>
      </c>
      <c r="K76" s="3" t="str">
        <f t="shared" si="5"/>
        <v/>
      </c>
      <c r="L76" s="3" t="str">
        <f>CONCATENATE("11 11.2 4b")</f>
        <v>11 11.2 4b</v>
      </c>
      <c r="M76" s="3" t="str">
        <f>CONCATENATE("FTTLSU42L54I436X")</f>
        <v>FTTLSU42L54I436X</v>
      </c>
      <c r="N76" s="3" t="s">
        <v>164</v>
      </c>
      <c r="O76" s="3"/>
      <c r="P76" s="4">
        <v>42783</v>
      </c>
      <c r="Q76" s="3" t="s">
        <v>27</v>
      </c>
      <c r="R76" s="3" t="s">
        <v>28</v>
      </c>
      <c r="S76" s="3" t="s">
        <v>29</v>
      </c>
      <c r="T76" s="5">
        <v>4503.32</v>
      </c>
      <c r="U76" s="5">
        <v>1941.83</v>
      </c>
      <c r="V76" s="5">
        <v>1793.22</v>
      </c>
      <c r="W76" s="3">
        <v>768.27</v>
      </c>
    </row>
    <row r="77" spans="1:23" ht="60.75">
      <c r="A77" s="3" t="s">
        <v>23</v>
      </c>
      <c r="B77" s="3" t="s">
        <v>24</v>
      </c>
      <c r="C77" s="3" t="s">
        <v>35</v>
      </c>
      <c r="D77" s="3" t="s">
        <v>43</v>
      </c>
      <c r="E77" s="3" t="s">
        <v>30</v>
      </c>
      <c r="F77" s="3" t="s">
        <v>113</v>
      </c>
      <c r="G77" s="3">
        <v>2016</v>
      </c>
      <c r="H77" s="3" t="str">
        <f>CONCATENATE("64210503468")</f>
        <v>64210503468</v>
      </c>
      <c r="I77" s="3" t="s">
        <v>25</v>
      </c>
      <c r="J77" s="3" t="s">
        <v>26</v>
      </c>
      <c r="K77" s="3" t="str">
        <f t="shared" si="5"/>
        <v/>
      </c>
      <c r="L77" s="3" t="str">
        <f>CONCATENATE("13 13.1 4a")</f>
        <v>13 13.1 4a</v>
      </c>
      <c r="M77" s="3" t="str">
        <f>CONCATENATE("BEIBRN37E04B636H")</f>
        <v>BEIBRN37E04B636H</v>
      </c>
      <c r="N77" s="3" t="s">
        <v>165</v>
      </c>
      <c r="O77" s="3"/>
      <c r="P77" s="4">
        <v>42783</v>
      </c>
      <c r="Q77" s="3" t="s">
        <v>27</v>
      </c>
      <c r="R77" s="3" t="s">
        <v>28</v>
      </c>
      <c r="S77" s="3" t="s">
        <v>29</v>
      </c>
      <c r="T77" s="5">
        <v>3098.65</v>
      </c>
      <c r="U77" s="5">
        <v>1336.14</v>
      </c>
      <c r="V77" s="5">
        <v>1233.8800000000001</v>
      </c>
      <c r="W77" s="3">
        <v>528.63</v>
      </c>
    </row>
    <row r="78" spans="1:23" ht="60.75">
      <c r="A78" s="3" t="s">
        <v>23</v>
      </c>
      <c r="B78" s="3" t="s">
        <v>24</v>
      </c>
      <c r="C78" s="3" t="s">
        <v>35</v>
      </c>
      <c r="D78" s="3" t="s">
        <v>36</v>
      </c>
      <c r="E78" s="3" t="s">
        <v>135</v>
      </c>
      <c r="F78" s="3" t="s">
        <v>166</v>
      </c>
      <c r="G78" s="3">
        <v>2016</v>
      </c>
      <c r="H78" s="3" t="str">
        <f>CONCATENATE("64210674012")</f>
        <v>64210674012</v>
      </c>
      <c r="I78" s="3" t="s">
        <v>25</v>
      </c>
      <c r="J78" s="3" t="s">
        <v>26</v>
      </c>
      <c r="K78" s="3" t="str">
        <f t="shared" si="5"/>
        <v/>
      </c>
      <c r="L78" s="3" t="str">
        <f>CONCATENATE("13 13.1 4a")</f>
        <v>13 13.1 4a</v>
      </c>
      <c r="M78" s="3" t="str">
        <f>CONCATENATE("CLSFBA74B26E834C")</f>
        <v>CLSFBA74B26E834C</v>
      </c>
      <c r="N78" s="3" t="s">
        <v>167</v>
      </c>
      <c r="O78" s="3"/>
      <c r="P78" s="4">
        <v>42783</v>
      </c>
      <c r="Q78" s="3" t="s">
        <v>27</v>
      </c>
      <c r="R78" s="3" t="s">
        <v>28</v>
      </c>
      <c r="S78" s="3" t="s">
        <v>29</v>
      </c>
      <c r="T78" s="5">
        <v>4727.71</v>
      </c>
      <c r="U78" s="5">
        <v>2038.59</v>
      </c>
      <c r="V78" s="5">
        <v>1882.57</v>
      </c>
      <c r="W78" s="3">
        <v>806.55</v>
      </c>
    </row>
    <row r="79" spans="1:23" ht="72.75">
      <c r="A79" s="3" t="s">
        <v>23</v>
      </c>
      <c r="B79" s="3" t="s">
        <v>24</v>
      </c>
      <c r="C79" s="3" t="s">
        <v>35</v>
      </c>
      <c r="D79" s="3" t="s">
        <v>39</v>
      </c>
      <c r="E79" s="3" t="s">
        <v>30</v>
      </c>
      <c r="F79" s="3" t="s">
        <v>97</v>
      </c>
      <c r="G79" s="3">
        <v>2016</v>
      </c>
      <c r="H79" s="3" t="str">
        <f>CONCATENATE("64240037040")</f>
        <v>64240037040</v>
      </c>
      <c r="I79" s="3" t="s">
        <v>31</v>
      </c>
      <c r="J79" s="3" t="s">
        <v>26</v>
      </c>
      <c r="K79" s="3" t="str">
        <f t="shared" si="5"/>
        <v/>
      </c>
      <c r="L79" s="3" t="str">
        <f>CONCATENATE("11 11.2 4b")</f>
        <v>11 11.2 4b</v>
      </c>
      <c r="M79" s="3" t="str">
        <f>CONCATENATE("GLDGNI39M26G157Q")</f>
        <v>GLDGNI39M26G157Q</v>
      </c>
      <c r="N79" s="3" t="s">
        <v>168</v>
      </c>
      <c r="O79" s="3"/>
      <c r="P79" s="4">
        <v>42783</v>
      </c>
      <c r="Q79" s="3" t="s">
        <v>27</v>
      </c>
      <c r="R79" s="3" t="s">
        <v>28</v>
      </c>
      <c r="S79" s="3" t="s">
        <v>29</v>
      </c>
      <c r="T79" s="3">
        <v>709.52</v>
      </c>
      <c r="U79" s="3">
        <v>305.95</v>
      </c>
      <c r="V79" s="3">
        <v>282.52999999999997</v>
      </c>
      <c r="W79" s="3">
        <v>121.04</v>
      </c>
    </row>
    <row r="80" spans="1:23" ht="72.75">
      <c r="A80" s="3" t="s">
        <v>23</v>
      </c>
      <c r="B80" s="3" t="s">
        <v>24</v>
      </c>
      <c r="C80" s="3" t="s">
        <v>35</v>
      </c>
      <c r="D80" s="3" t="s">
        <v>43</v>
      </c>
      <c r="E80" s="3" t="s">
        <v>30</v>
      </c>
      <c r="F80" s="3" t="s">
        <v>113</v>
      </c>
      <c r="G80" s="3">
        <v>2016</v>
      </c>
      <c r="H80" s="3" t="str">
        <f>CONCATENATE("64210997256")</f>
        <v>64210997256</v>
      </c>
      <c r="I80" s="3" t="s">
        <v>25</v>
      </c>
      <c r="J80" s="3" t="s">
        <v>26</v>
      </c>
      <c r="K80" s="3" t="str">
        <f t="shared" si="5"/>
        <v/>
      </c>
      <c r="L80" s="3" t="str">
        <f>CONCATENATE("13 13.1 4a")</f>
        <v>13 13.1 4a</v>
      </c>
      <c r="M80" s="3" t="str">
        <f>CONCATENATE("CHGNTN46A04B352G")</f>
        <v>CHGNTN46A04B352G</v>
      </c>
      <c r="N80" s="3" t="s">
        <v>169</v>
      </c>
      <c r="O80" s="3"/>
      <c r="P80" s="4">
        <v>42783</v>
      </c>
      <c r="Q80" s="3" t="s">
        <v>27</v>
      </c>
      <c r="R80" s="3" t="s">
        <v>28</v>
      </c>
      <c r="S80" s="3" t="s">
        <v>29</v>
      </c>
      <c r="T80" s="3">
        <v>272.10000000000002</v>
      </c>
      <c r="U80" s="3">
        <v>117.33</v>
      </c>
      <c r="V80" s="3">
        <v>108.35</v>
      </c>
      <c r="W80" s="3">
        <v>46.42</v>
      </c>
    </row>
    <row r="81" spans="1:23" ht="72.75">
      <c r="A81" s="3" t="s">
        <v>23</v>
      </c>
      <c r="B81" s="3" t="s">
        <v>24</v>
      </c>
      <c r="C81" s="3" t="s">
        <v>35</v>
      </c>
      <c r="D81" s="3" t="s">
        <v>39</v>
      </c>
      <c r="E81" s="3" t="s">
        <v>34</v>
      </c>
      <c r="F81" s="3" t="s">
        <v>170</v>
      </c>
      <c r="G81" s="3">
        <v>2016</v>
      </c>
      <c r="H81" s="3" t="str">
        <f>CONCATENATE("64240438586")</f>
        <v>64240438586</v>
      </c>
      <c r="I81" s="3" t="s">
        <v>25</v>
      </c>
      <c r="J81" s="3" t="s">
        <v>26</v>
      </c>
      <c r="K81" s="3" t="str">
        <f t="shared" si="5"/>
        <v/>
      </c>
      <c r="L81" s="3" t="str">
        <f>CONCATENATE("11 11.1 4b")</f>
        <v>11 11.1 4b</v>
      </c>
      <c r="M81" s="3" t="str">
        <f>CONCATENATE("MRZGLC69R19H501O")</f>
        <v>MRZGLC69R19H501O</v>
      </c>
      <c r="N81" s="3" t="s">
        <v>171</v>
      </c>
      <c r="O81" s="3"/>
      <c r="P81" s="4">
        <v>42783</v>
      </c>
      <c r="Q81" s="3" t="s">
        <v>27</v>
      </c>
      <c r="R81" s="3" t="s">
        <v>28</v>
      </c>
      <c r="S81" s="3" t="s">
        <v>29</v>
      </c>
      <c r="T81" s="5">
        <v>1387.32</v>
      </c>
      <c r="U81" s="3">
        <v>598.21</v>
      </c>
      <c r="V81" s="3">
        <v>552.42999999999995</v>
      </c>
      <c r="W81" s="3">
        <v>236.68</v>
      </c>
    </row>
    <row r="82" spans="1:23" ht="60.75">
      <c r="A82" s="3" t="s">
        <v>23</v>
      </c>
      <c r="B82" s="3" t="s">
        <v>24</v>
      </c>
      <c r="C82" s="3" t="s">
        <v>35</v>
      </c>
      <c r="D82" s="3" t="s">
        <v>39</v>
      </c>
      <c r="E82" s="3" t="s">
        <v>32</v>
      </c>
      <c r="F82" s="3" t="s">
        <v>69</v>
      </c>
      <c r="G82" s="3">
        <v>2016</v>
      </c>
      <c r="H82" s="3" t="str">
        <f>CONCATENATE("64240500120")</f>
        <v>64240500120</v>
      </c>
      <c r="I82" s="3" t="s">
        <v>25</v>
      </c>
      <c r="J82" s="3" t="s">
        <v>26</v>
      </c>
      <c r="K82" s="3" t="str">
        <f t="shared" si="5"/>
        <v/>
      </c>
      <c r="L82" s="3" t="str">
        <f>CONCATENATE("11 11.2 4b")</f>
        <v>11 11.2 4b</v>
      </c>
      <c r="M82" s="3" t="str">
        <f>CONCATENATE("PRCFRZ78C24A271M")</f>
        <v>PRCFRZ78C24A271M</v>
      </c>
      <c r="N82" s="3" t="s">
        <v>172</v>
      </c>
      <c r="O82" s="3"/>
      <c r="P82" s="4">
        <v>42783</v>
      </c>
      <c r="Q82" s="3" t="s">
        <v>27</v>
      </c>
      <c r="R82" s="3" t="s">
        <v>28</v>
      </c>
      <c r="S82" s="3" t="s">
        <v>29</v>
      </c>
      <c r="T82" s="5">
        <v>1079.78</v>
      </c>
      <c r="U82" s="3">
        <v>465.6</v>
      </c>
      <c r="V82" s="3">
        <v>429.97</v>
      </c>
      <c r="W82" s="3">
        <v>184.21</v>
      </c>
    </row>
    <row r="83" spans="1:23" ht="60.75">
      <c r="A83" s="3" t="s">
        <v>23</v>
      </c>
      <c r="B83" s="3" t="s">
        <v>24</v>
      </c>
      <c r="C83" s="3" t="s">
        <v>35</v>
      </c>
      <c r="D83" s="3" t="s">
        <v>43</v>
      </c>
      <c r="E83" s="3" t="s">
        <v>30</v>
      </c>
      <c r="F83" s="3" t="s">
        <v>131</v>
      </c>
      <c r="G83" s="3">
        <v>2016</v>
      </c>
      <c r="H83" s="3" t="str">
        <f>CONCATENATE("64240761029")</f>
        <v>64240761029</v>
      </c>
      <c r="I83" s="3" t="s">
        <v>25</v>
      </c>
      <c r="J83" s="3" t="s">
        <v>26</v>
      </c>
      <c r="K83" s="3" t="str">
        <f t="shared" si="5"/>
        <v/>
      </c>
      <c r="L83" s="3" t="str">
        <f>CONCATENATE("11 11.2 4b")</f>
        <v>11 11.2 4b</v>
      </c>
      <c r="M83" s="3" t="str">
        <f>CONCATENATE("LSIDBR67B26G479N")</f>
        <v>LSIDBR67B26G479N</v>
      </c>
      <c r="N83" s="3" t="s">
        <v>173</v>
      </c>
      <c r="O83" s="3"/>
      <c r="P83" s="4">
        <v>42783</v>
      </c>
      <c r="Q83" s="3" t="s">
        <v>27</v>
      </c>
      <c r="R83" s="3" t="s">
        <v>28</v>
      </c>
      <c r="S83" s="3" t="s">
        <v>29</v>
      </c>
      <c r="T83" s="5">
        <v>13860.73</v>
      </c>
      <c r="U83" s="5">
        <v>5976.75</v>
      </c>
      <c r="V83" s="5">
        <v>5519.34</v>
      </c>
      <c r="W83" s="5">
        <v>2364.64</v>
      </c>
    </row>
    <row r="84" spans="1:23" ht="36.75">
      <c r="A84" s="3" t="s">
        <v>23</v>
      </c>
      <c r="B84" s="3" t="s">
        <v>24</v>
      </c>
      <c r="C84" s="3" t="s">
        <v>35</v>
      </c>
      <c r="D84" s="3" t="s">
        <v>43</v>
      </c>
      <c r="E84" s="3" t="s">
        <v>30</v>
      </c>
      <c r="F84" s="3" t="s">
        <v>76</v>
      </c>
      <c r="G84" s="3">
        <v>2016</v>
      </c>
      <c r="H84" s="3" t="str">
        <f>CONCATENATE("64210162547")</f>
        <v>64210162547</v>
      </c>
      <c r="I84" s="3" t="s">
        <v>25</v>
      </c>
      <c r="J84" s="3" t="s">
        <v>26</v>
      </c>
      <c r="K84" s="3" t="str">
        <f t="shared" si="5"/>
        <v/>
      </c>
      <c r="L84" s="3" t="str">
        <f>CONCATENATE("13 13.1 4a")</f>
        <v>13 13.1 4a</v>
      </c>
      <c r="M84" s="3" t="str">
        <f>CONCATENATE("00349040394")</f>
        <v>00349040394</v>
      </c>
      <c r="N84" s="3" t="s">
        <v>174</v>
      </c>
      <c r="O84" s="3"/>
      <c r="P84" s="4">
        <v>42783</v>
      </c>
      <c r="Q84" s="3" t="s">
        <v>27</v>
      </c>
      <c r="R84" s="3" t="s">
        <v>28</v>
      </c>
      <c r="S84" s="3" t="s">
        <v>29</v>
      </c>
      <c r="T84" s="5">
        <v>5238</v>
      </c>
      <c r="U84" s="5">
        <v>2258.63</v>
      </c>
      <c r="V84" s="5">
        <v>2085.77</v>
      </c>
      <c r="W84" s="3">
        <v>893.6</v>
      </c>
    </row>
    <row r="85" spans="1:23" ht="60.75">
      <c r="A85" s="3" t="s">
        <v>23</v>
      </c>
      <c r="B85" s="3" t="s">
        <v>24</v>
      </c>
      <c r="C85" s="3" t="s">
        <v>35</v>
      </c>
      <c r="D85" s="3" t="s">
        <v>43</v>
      </c>
      <c r="E85" s="3" t="s">
        <v>30</v>
      </c>
      <c r="F85" s="3" t="s">
        <v>76</v>
      </c>
      <c r="G85" s="3">
        <v>2016</v>
      </c>
      <c r="H85" s="3" t="str">
        <f>CONCATENATE("64210141905")</f>
        <v>64210141905</v>
      </c>
      <c r="I85" s="3" t="s">
        <v>31</v>
      </c>
      <c r="J85" s="3" t="s">
        <v>26</v>
      </c>
      <c r="K85" s="3" t="str">
        <f t="shared" si="5"/>
        <v/>
      </c>
      <c r="L85" s="3" t="str">
        <f>CONCATENATE("13 13.1 4a")</f>
        <v>13 13.1 4a</v>
      </c>
      <c r="M85" s="3" t="str">
        <f>CONCATENATE("SLVLCU69E31E785R")</f>
        <v>SLVLCU69E31E785R</v>
      </c>
      <c r="N85" s="3" t="s">
        <v>175</v>
      </c>
      <c r="O85" s="3"/>
      <c r="P85" s="4">
        <v>42783</v>
      </c>
      <c r="Q85" s="3" t="s">
        <v>27</v>
      </c>
      <c r="R85" s="3" t="s">
        <v>28</v>
      </c>
      <c r="S85" s="3" t="s">
        <v>29</v>
      </c>
      <c r="T85" s="3">
        <v>784.37</v>
      </c>
      <c r="U85" s="3">
        <v>338.22</v>
      </c>
      <c r="V85" s="3">
        <v>312.33999999999997</v>
      </c>
      <c r="W85" s="3">
        <v>133.81</v>
      </c>
    </row>
    <row r="86" spans="1:23" ht="36.75">
      <c r="A86" s="3" t="s">
        <v>23</v>
      </c>
      <c r="B86" s="3" t="s">
        <v>24</v>
      </c>
      <c r="C86" s="3" t="s">
        <v>35</v>
      </c>
      <c r="D86" s="3" t="s">
        <v>48</v>
      </c>
      <c r="E86" s="3" t="s">
        <v>30</v>
      </c>
      <c r="F86" s="3" t="s">
        <v>91</v>
      </c>
      <c r="G86" s="3">
        <v>2016</v>
      </c>
      <c r="H86" s="3" t="str">
        <f>CONCATENATE("64210594517")</f>
        <v>64210594517</v>
      </c>
      <c r="I86" s="3" t="s">
        <v>31</v>
      </c>
      <c r="J86" s="3" t="s">
        <v>26</v>
      </c>
      <c r="K86" s="3" t="str">
        <f t="shared" si="5"/>
        <v/>
      </c>
      <c r="L86" s="3" t="str">
        <f>CONCATENATE("13 13.1 4a")</f>
        <v>13 13.1 4a</v>
      </c>
      <c r="M86" s="3" t="str">
        <f>CONCATENATE("01015260431")</f>
        <v>01015260431</v>
      </c>
      <c r="N86" s="3" t="s">
        <v>176</v>
      </c>
      <c r="O86" s="3"/>
      <c r="P86" s="4">
        <v>42783</v>
      </c>
      <c r="Q86" s="3" t="s">
        <v>27</v>
      </c>
      <c r="R86" s="3" t="s">
        <v>28</v>
      </c>
      <c r="S86" s="3" t="s">
        <v>29</v>
      </c>
      <c r="T86" s="5">
        <v>5400</v>
      </c>
      <c r="U86" s="5">
        <v>2328.48</v>
      </c>
      <c r="V86" s="5">
        <v>2150.2800000000002</v>
      </c>
      <c r="W86" s="3">
        <v>921.24</v>
      </c>
    </row>
    <row r="87" spans="1:23" ht="72.75">
      <c r="A87" s="3" t="s">
        <v>23</v>
      </c>
      <c r="B87" s="3" t="s">
        <v>24</v>
      </c>
      <c r="C87" s="3" t="s">
        <v>35</v>
      </c>
      <c r="D87" s="3" t="s">
        <v>43</v>
      </c>
      <c r="E87" s="3" t="s">
        <v>30</v>
      </c>
      <c r="F87" s="3" t="s">
        <v>76</v>
      </c>
      <c r="G87" s="3">
        <v>2016</v>
      </c>
      <c r="H87" s="3" t="str">
        <f>CONCATENATE("64210087850")</f>
        <v>64210087850</v>
      </c>
      <c r="I87" s="3" t="s">
        <v>25</v>
      </c>
      <c r="J87" s="3" t="s">
        <v>26</v>
      </c>
      <c r="K87" s="3" t="str">
        <f t="shared" si="5"/>
        <v/>
      </c>
      <c r="L87" s="3" t="str">
        <f>CONCATENATE("13 13.1 4a")</f>
        <v>13 13.1 4a</v>
      </c>
      <c r="M87" s="3" t="str">
        <f>CONCATENATE("MNNMRC44D26L500F")</f>
        <v>MNNMRC44D26L500F</v>
      </c>
      <c r="N87" s="3" t="s">
        <v>177</v>
      </c>
      <c r="O87" s="3"/>
      <c r="P87" s="4">
        <v>42783</v>
      </c>
      <c r="Q87" s="3" t="s">
        <v>27</v>
      </c>
      <c r="R87" s="3" t="s">
        <v>28</v>
      </c>
      <c r="S87" s="3" t="s">
        <v>29</v>
      </c>
      <c r="T87" s="5">
        <v>3605.37</v>
      </c>
      <c r="U87" s="5">
        <v>1554.64</v>
      </c>
      <c r="V87" s="5">
        <v>1435.66</v>
      </c>
      <c r="W87" s="3">
        <v>615.07000000000005</v>
      </c>
    </row>
    <row r="88" spans="1:23" ht="72.75">
      <c r="A88" s="3" t="s">
        <v>23</v>
      </c>
      <c r="B88" s="3" t="s">
        <v>24</v>
      </c>
      <c r="C88" s="3" t="s">
        <v>35</v>
      </c>
      <c r="D88" s="3" t="s">
        <v>36</v>
      </c>
      <c r="E88" s="3" t="s">
        <v>30</v>
      </c>
      <c r="F88" s="3" t="s">
        <v>86</v>
      </c>
      <c r="G88" s="3">
        <v>2016</v>
      </c>
      <c r="H88" s="3" t="str">
        <f>CONCATENATE("64210928996")</f>
        <v>64210928996</v>
      </c>
      <c r="I88" s="3" t="s">
        <v>25</v>
      </c>
      <c r="J88" s="3" t="s">
        <v>26</v>
      </c>
      <c r="K88" s="3" t="str">
        <f t="shared" si="5"/>
        <v/>
      </c>
      <c r="L88" s="3" t="str">
        <f>CONCATENATE("13 13.1 4a")</f>
        <v>13 13.1 4a</v>
      </c>
      <c r="M88" s="3" t="str">
        <f>CONCATENATE("MRACMN73B07A462W")</f>
        <v>MRACMN73B07A462W</v>
      </c>
      <c r="N88" s="3" t="s">
        <v>178</v>
      </c>
      <c r="O88" s="3"/>
      <c r="P88" s="4">
        <v>42783</v>
      </c>
      <c r="Q88" s="3" t="s">
        <v>27</v>
      </c>
      <c r="R88" s="3" t="s">
        <v>28</v>
      </c>
      <c r="S88" s="3" t="s">
        <v>29</v>
      </c>
      <c r="T88" s="5">
        <v>1663.88</v>
      </c>
      <c r="U88" s="3">
        <v>717.47</v>
      </c>
      <c r="V88" s="3">
        <v>662.56</v>
      </c>
      <c r="W88" s="3">
        <v>283.85000000000002</v>
      </c>
    </row>
    <row r="89" spans="1:23" ht="72.75">
      <c r="A89" s="3" t="s">
        <v>23</v>
      </c>
      <c r="B89" s="3" t="s">
        <v>24</v>
      </c>
      <c r="C89" s="3" t="s">
        <v>35</v>
      </c>
      <c r="D89" s="3" t="s">
        <v>36</v>
      </c>
      <c r="E89" s="3" t="s">
        <v>32</v>
      </c>
      <c r="F89" s="3" t="s">
        <v>179</v>
      </c>
      <c r="G89" s="3">
        <v>2016</v>
      </c>
      <c r="H89" s="3" t="str">
        <f>CONCATENATE("64240594263")</f>
        <v>64240594263</v>
      </c>
      <c r="I89" s="3" t="s">
        <v>25</v>
      </c>
      <c r="J89" s="3" t="s">
        <v>26</v>
      </c>
      <c r="K89" s="3" t="str">
        <f t="shared" si="5"/>
        <v/>
      </c>
      <c r="L89" s="3" t="str">
        <f>CONCATENATE("10 10.1 4b")</f>
        <v>10 10.1 4b</v>
      </c>
      <c r="M89" s="3" t="str">
        <f>CONCATENATE("LPUSMN79A47D542B")</f>
        <v>LPUSMN79A47D542B</v>
      </c>
      <c r="N89" s="3" t="s">
        <v>180</v>
      </c>
      <c r="O89" s="3"/>
      <c r="P89" s="4">
        <v>42783</v>
      </c>
      <c r="Q89" s="3" t="s">
        <v>27</v>
      </c>
      <c r="R89" s="3" t="s">
        <v>28</v>
      </c>
      <c r="S89" s="3" t="s">
        <v>29</v>
      </c>
      <c r="T89" s="3">
        <v>629.75</v>
      </c>
      <c r="U89" s="3">
        <v>271.55</v>
      </c>
      <c r="V89" s="3">
        <v>250.77</v>
      </c>
      <c r="W89" s="3">
        <v>107.43</v>
      </c>
    </row>
    <row r="90" spans="1:23" ht="60.75">
      <c r="A90" s="3" t="s">
        <v>23</v>
      </c>
      <c r="B90" s="3" t="s">
        <v>24</v>
      </c>
      <c r="C90" s="3" t="s">
        <v>35</v>
      </c>
      <c r="D90" s="3" t="s">
        <v>48</v>
      </c>
      <c r="E90" s="3" t="s">
        <v>49</v>
      </c>
      <c r="F90" s="3" t="s">
        <v>80</v>
      </c>
      <c r="G90" s="3">
        <v>2016</v>
      </c>
      <c r="H90" s="3" t="str">
        <f>CONCATENATE("64210653818")</f>
        <v>64210653818</v>
      </c>
      <c r="I90" s="3" t="s">
        <v>25</v>
      </c>
      <c r="J90" s="3" t="s">
        <v>26</v>
      </c>
      <c r="K90" s="3" t="str">
        <f t="shared" si="5"/>
        <v/>
      </c>
      <c r="L90" s="3" t="str">
        <f>CONCATENATE("13 13.1 4a")</f>
        <v>13 13.1 4a</v>
      </c>
      <c r="M90" s="3" t="str">
        <f>CONCATENATE("CNVLCN66T09B474J")</f>
        <v>CNVLCN66T09B474J</v>
      </c>
      <c r="N90" s="3" t="s">
        <v>181</v>
      </c>
      <c r="O90" s="3"/>
      <c r="P90" s="4">
        <v>42783</v>
      </c>
      <c r="Q90" s="3" t="s">
        <v>27</v>
      </c>
      <c r="R90" s="3" t="s">
        <v>28</v>
      </c>
      <c r="S90" s="3" t="s">
        <v>29</v>
      </c>
      <c r="T90" s="5">
        <v>4066.73</v>
      </c>
      <c r="U90" s="5">
        <v>1753.57</v>
      </c>
      <c r="V90" s="5">
        <v>1619.37</v>
      </c>
      <c r="W90" s="3">
        <v>693.79</v>
      </c>
    </row>
    <row r="91" spans="1:23" ht="72.75">
      <c r="A91" s="3" t="s">
        <v>23</v>
      </c>
      <c r="B91" s="3" t="s">
        <v>24</v>
      </c>
      <c r="C91" s="3" t="s">
        <v>35</v>
      </c>
      <c r="D91" s="3" t="s">
        <v>43</v>
      </c>
      <c r="E91" s="3" t="s">
        <v>33</v>
      </c>
      <c r="F91" s="3" t="s">
        <v>122</v>
      </c>
      <c r="G91" s="3">
        <v>2016</v>
      </c>
      <c r="H91" s="3" t="str">
        <f>CONCATENATE("64210913261")</f>
        <v>64210913261</v>
      </c>
      <c r="I91" s="3" t="s">
        <v>25</v>
      </c>
      <c r="J91" s="3" t="s">
        <v>26</v>
      </c>
      <c r="K91" s="3" t="str">
        <f t="shared" si="5"/>
        <v/>
      </c>
      <c r="L91" s="3" t="str">
        <f>CONCATENATE("13 13.1 4a")</f>
        <v>13 13.1 4a</v>
      </c>
      <c r="M91" s="3" t="str">
        <f>CONCATENATE("CNTNMR52A44F478T")</f>
        <v>CNTNMR52A44F478T</v>
      </c>
      <c r="N91" s="3" t="s">
        <v>182</v>
      </c>
      <c r="O91" s="3"/>
      <c r="P91" s="4">
        <v>42783</v>
      </c>
      <c r="Q91" s="3" t="s">
        <v>27</v>
      </c>
      <c r="R91" s="3" t="s">
        <v>28</v>
      </c>
      <c r="S91" s="3" t="s">
        <v>29</v>
      </c>
      <c r="T91" s="5">
        <v>3304.21</v>
      </c>
      <c r="U91" s="5">
        <v>1424.78</v>
      </c>
      <c r="V91" s="5">
        <v>1315.74</v>
      </c>
      <c r="W91" s="3">
        <v>563.69000000000005</v>
      </c>
    </row>
    <row r="92" spans="1:23" ht="60.75">
      <c r="A92" s="3" t="s">
        <v>23</v>
      </c>
      <c r="B92" s="3" t="s">
        <v>24</v>
      </c>
      <c r="C92" s="3" t="s">
        <v>35</v>
      </c>
      <c r="D92" s="3" t="s">
        <v>43</v>
      </c>
      <c r="E92" s="3" t="s">
        <v>30</v>
      </c>
      <c r="F92" s="3" t="s">
        <v>124</v>
      </c>
      <c r="G92" s="3">
        <v>2016</v>
      </c>
      <c r="H92" s="3" t="str">
        <f>CONCATENATE("64210211831")</f>
        <v>64210211831</v>
      </c>
      <c r="I92" s="3" t="s">
        <v>25</v>
      </c>
      <c r="J92" s="3" t="s">
        <v>26</v>
      </c>
      <c r="K92" s="3" t="str">
        <f t="shared" si="5"/>
        <v/>
      </c>
      <c r="L92" s="3" t="str">
        <f>CONCATENATE("13 13.1 4a")</f>
        <v>13 13.1 4a</v>
      </c>
      <c r="M92" s="3" t="str">
        <f>CONCATENATE("GLNCLD61E10F135Z")</f>
        <v>GLNCLD61E10F135Z</v>
      </c>
      <c r="N92" s="3" t="s">
        <v>183</v>
      </c>
      <c r="O92" s="3"/>
      <c r="P92" s="4">
        <v>42783</v>
      </c>
      <c r="Q92" s="3" t="s">
        <v>27</v>
      </c>
      <c r="R92" s="3" t="s">
        <v>28</v>
      </c>
      <c r="S92" s="3" t="s">
        <v>29</v>
      </c>
      <c r="T92" s="5">
        <v>1759.21</v>
      </c>
      <c r="U92" s="3">
        <v>758.57</v>
      </c>
      <c r="V92" s="3">
        <v>700.52</v>
      </c>
      <c r="W92" s="3">
        <v>300.12</v>
      </c>
    </row>
    <row r="93" spans="1:23" ht="72.75">
      <c r="A93" s="3" t="s">
        <v>23</v>
      </c>
      <c r="B93" s="3" t="s">
        <v>24</v>
      </c>
      <c r="C93" s="3" t="s">
        <v>35</v>
      </c>
      <c r="D93" s="3" t="s">
        <v>43</v>
      </c>
      <c r="E93" s="3" t="s">
        <v>32</v>
      </c>
      <c r="F93" s="3" t="s">
        <v>184</v>
      </c>
      <c r="G93" s="3">
        <v>2016</v>
      </c>
      <c r="H93" s="3" t="str">
        <f>CONCATENATE("64240624367")</f>
        <v>64240624367</v>
      </c>
      <c r="I93" s="3" t="s">
        <v>25</v>
      </c>
      <c r="J93" s="3" t="s">
        <v>26</v>
      </c>
      <c r="K93" s="3" t="str">
        <f t="shared" si="5"/>
        <v/>
      </c>
      <c r="L93" s="3" t="str">
        <f>CONCATENATE("11 11.2 4b")</f>
        <v>11 11.2 4b</v>
      </c>
      <c r="M93" s="3" t="str">
        <f>CONCATENATE("RFFMHL61A69A332V")</f>
        <v>RFFMHL61A69A332V</v>
      </c>
      <c r="N93" s="3" t="s">
        <v>185</v>
      </c>
      <c r="O93" s="3"/>
      <c r="P93" s="4">
        <v>42783</v>
      </c>
      <c r="Q93" s="3" t="s">
        <v>27</v>
      </c>
      <c r="R93" s="3" t="s">
        <v>28</v>
      </c>
      <c r="S93" s="3" t="s">
        <v>29</v>
      </c>
      <c r="T93" s="5">
        <v>2664.65</v>
      </c>
      <c r="U93" s="5">
        <v>1149</v>
      </c>
      <c r="V93" s="5">
        <v>1061.06</v>
      </c>
      <c r="W93" s="3">
        <v>454.59</v>
      </c>
    </row>
    <row r="94" spans="1:23" ht="36.75">
      <c r="A94" s="3" t="s">
        <v>23</v>
      </c>
      <c r="B94" s="3" t="s">
        <v>24</v>
      </c>
      <c r="C94" s="3" t="s">
        <v>35</v>
      </c>
      <c r="D94" s="3" t="s">
        <v>39</v>
      </c>
      <c r="E94" s="3" t="s">
        <v>34</v>
      </c>
      <c r="F94" s="3" t="s">
        <v>170</v>
      </c>
      <c r="G94" s="3">
        <v>2016</v>
      </c>
      <c r="H94" s="3" t="str">
        <f>CONCATENATE("64240857892")</f>
        <v>64240857892</v>
      </c>
      <c r="I94" s="3" t="s">
        <v>25</v>
      </c>
      <c r="J94" s="3" t="s">
        <v>26</v>
      </c>
      <c r="K94" s="3" t="str">
        <f t="shared" si="5"/>
        <v/>
      </c>
      <c r="L94" s="3" t="str">
        <f>CONCATENATE("11 11.2 4b")</f>
        <v>11 11.2 4b</v>
      </c>
      <c r="M94" s="3" t="str">
        <f>CONCATENATE("02305360428")</f>
        <v>02305360428</v>
      </c>
      <c r="N94" s="3" t="s">
        <v>186</v>
      </c>
      <c r="O94" s="3"/>
      <c r="P94" s="4">
        <v>42783</v>
      </c>
      <c r="Q94" s="3" t="s">
        <v>27</v>
      </c>
      <c r="R94" s="3" t="s">
        <v>28</v>
      </c>
      <c r="S94" s="3" t="s">
        <v>29</v>
      </c>
      <c r="T94" s="5">
        <v>5304.86</v>
      </c>
      <c r="U94" s="5">
        <v>2287.46</v>
      </c>
      <c r="V94" s="5">
        <v>2112.4</v>
      </c>
      <c r="W94" s="3">
        <v>905</v>
      </c>
    </row>
    <row r="95" spans="1:23" ht="60.75">
      <c r="A95" s="3" t="s">
        <v>23</v>
      </c>
      <c r="B95" s="3" t="s">
        <v>24</v>
      </c>
      <c r="C95" s="3" t="s">
        <v>35</v>
      </c>
      <c r="D95" s="3" t="s">
        <v>48</v>
      </c>
      <c r="E95" s="3" t="s">
        <v>32</v>
      </c>
      <c r="F95" s="3" t="s">
        <v>129</v>
      </c>
      <c r="G95" s="3">
        <v>2016</v>
      </c>
      <c r="H95" s="3" t="str">
        <f>CONCATENATE("64240398533")</f>
        <v>64240398533</v>
      </c>
      <c r="I95" s="3" t="s">
        <v>25</v>
      </c>
      <c r="J95" s="3" t="s">
        <v>26</v>
      </c>
      <c r="K95" s="3" t="str">
        <f t="shared" si="5"/>
        <v/>
      </c>
      <c r="L95" s="3" t="str">
        <f>CONCATENATE("11 11.2 4b")</f>
        <v>11 11.2 4b</v>
      </c>
      <c r="M95" s="3" t="str">
        <f>CONCATENATE("LSSDGI88A24F522U")</f>
        <v>LSSDGI88A24F522U</v>
      </c>
      <c r="N95" s="3" t="s">
        <v>187</v>
      </c>
      <c r="O95" s="3"/>
      <c r="P95" s="4">
        <v>42783</v>
      </c>
      <c r="Q95" s="3" t="s">
        <v>27</v>
      </c>
      <c r="R95" s="3" t="s">
        <v>28</v>
      </c>
      <c r="S95" s="3" t="s">
        <v>29</v>
      </c>
      <c r="T95" s="5">
        <v>1490.42</v>
      </c>
      <c r="U95" s="3">
        <v>642.66999999999996</v>
      </c>
      <c r="V95" s="3">
        <v>593.49</v>
      </c>
      <c r="W95" s="3">
        <v>254.26</v>
      </c>
    </row>
    <row r="96" spans="1:23" ht="60.75">
      <c r="A96" s="3" t="s">
        <v>23</v>
      </c>
      <c r="B96" s="3" t="s">
        <v>24</v>
      </c>
      <c r="C96" s="3" t="s">
        <v>35</v>
      </c>
      <c r="D96" s="3" t="s">
        <v>48</v>
      </c>
      <c r="E96" s="3" t="s">
        <v>30</v>
      </c>
      <c r="F96" s="3" t="s">
        <v>91</v>
      </c>
      <c r="G96" s="3">
        <v>2016</v>
      </c>
      <c r="H96" s="3" t="str">
        <f>CONCATENATE("64210505133")</f>
        <v>64210505133</v>
      </c>
      <c r="I96" s="3" t="s">
        <v>25</v>
      </c>
      <c r="J96" s="3" t="s">
        <v>26</v>
      </c>
      <c r="K96" s="3" t="str">
        <f t="shared" si="5"/>
        <v/>
      </c>
      <c r="L96" s="3" t="str">
        <f>CONCATENATE("13 13.1 4a")</f>
        <v>13 13.1 4a</v>
      </c>
      <c r="M96" s="3" t="str">
        <f>CONCATENATE("BNEFST46E18D628L")</f>
        <v>BNEFST46E18D628L</v>
      </c>
      <c r="N96" s="3" t="s">
        <v>188</v>
      </c>
      <c r="O96" s="3"/>
      <c r="P96" s="4">
        <v>42783</v>
      </c>
      <c r="Q96" s="3" t="s">
        <v>27</v>
      </c>
      <c r="R96" s="3" t="s">
        <v>28</v>
      </c>
      <c r="S96" s="3" t="s">
        <v>29</v>
      </c>
      <c r="T96" s="5">
        <v>4051.3</v>
      </c>
      <c r="U96" s="5">
        <v>1746.92</v>
      </c>
      <c r="V96" s="5">
        <v>1613.23</v>
      </c>
      <c r="W96" s="3">
        <v>691.15</v>
      </c>
    </row>
    <row r="97" spans="1:23" ht="36.75">
      <c r="A97" s="3" t="s">
        <v>23</v>
      </c>
      <c r="B97" s="3" t="s">
        <v>24</v>
      </c>
      <c r="C97" s="3" t="s">
        <v>35</v>
      </c>
      <c r="D97" s="3" t="s">
        <v>36</v>
      </c>
      <c r="E97" s="3" t="s">
        <v>42</v>
      </c>
      <c r="F97" s="3" t="s">
        <v>42</v>
      </c>
      <c r="G97" s="3">
        <v>2016</v>
      </c>
      <c r="H97" s="3" t="str">
        <f>CONCATENATE("64240588240")</f>
        <v>64240588240</v>
      </c>
      <c r="I97" s="3" t="s">
        <v>25</v>
      </c>
      <c r="J97" s="3" t="s">
        <v>26</v>
      </c>
      <c r="K97" s="3" t="str">
        <f t="shared" si="5"/>
        <v/>
      </c>
      <c r="L97" s="3" t="str">
        <f>CONCATENATE("11 11.2 4b")</f>
        <v>11 11.2 4b</v>
      </c>
      <c r="M97" s="3" t="str">
        <f>CONCATENATE("01735640433")</f>
        <v>01735640433</v>
      </c>
      <c r="N97" s="3" t="s">
        <v>190</v>
      </c>
      <c r="O97" s="3"/>
      <c r="P97" s="4">
        <v>42783</v>
      </c>
      <c r="Q97" s="3" t="s">
        <v>27</v>
      </c>
      <c r="R97" s="3" t="s">
        <v>28</v>
      </c>
      <c r="S97" s="3" t="s">
        <v>29</v>
      </c>
      <c r="T97" s="3">
        <v>932.36</v>
      </c>
      <c r="U97" s="3">
        <v>402.03</v>
      </c>
      <c r="V97" s="3">
        <v>371.27</v>
      </c>
      <c r="W97" s="3">
        <v>159.06</v>
      </c>
    </row>
    <row r="98" spans="1:23" ht="60.75">
      <c r="A98" s="3" t="s">
        <v>23</v>
      </c>
      <c r="B98" s="3" t="s">
        <v>24</v>
      </c>
      <c r="C98" s="3" t="s">
        <v>35</v>
      </c>
      <c r="D98" s="3" t="s">
        <v>43</v>
      </c>
      <c r="E98" s="3" t="s">
        <v>34</v>
      </c>
      <c r="F98" s="3" t="s">
        <v>146</v>
      </c>
      <c r="G98" s="3">
        <v>2016</v>
      </c>
      <c r="H98" s="3" t="str">
        <f>CONCATENATE("64240669107")</f>
        <v>64240669107</v>
      </c>
      <c r="I98" s="3" t="s">
        <v>25</v>
      </c>
      <c r="J98" s="3" t="s">
        <v>26</v>
      </c>
      <c r="K98" s="3" t="str">
        <f t="shared" si="5"/>
        <v/>
      </c>
      <c r="L98" s="3" t="str">
        <f>CONCATENATE("11 11.2 4b")</f>
        <v>11 11.2 4b</v>
      </c>
      <c r="M98" s="3" t="str">
        <f>CONCATENATE("CCCDNT49C02F310S")</f>
        <v>CCCDNT49C02F310S</v>
      </c>
      <c r="N98" s="3" t="s">
        <v>191</v>
      </c>
      <c r="O98" s="3"/>
      <c r="P98" s="4">
        <v>42783</v>
      </c>
      <c r="Q98" s="3" t="s">
        <v>27</v>
      </c>
      <c r="R98" s="3" t="s">
        <v>28</v>
      </c>
      <c r="S98" s="3" t="s">
        <v>29</v>
      </c>
      <c r="T98" s="5">
        <v>6103.26</v>
      </c>
      <c r="U98" s="5">
        <v>2631.73</v>
      </c>
      <c r="V98" s="5">
        <v>2430.3200000000002</v>
      </c>
      <c r="W98" s="5">
        <v>1041.21</v>
      </c>
    </row>
    <row r="99" spans="1:23" ht="60.75">
      <c r="A99" s="3" t="s">
        <v>23</v>
      </c>
      <c r="B99" s="3" t="s">
        <v>24</v>
      </c>
      <c r="C99" s="3" t="s">
        <v>35</v>
      </c>
      <c r="D99" s="3" t="s">
        <v>36</v>
      </c>
      <c r="E99" s="3" t="s">
        <v>33</v>
      </c>
      <c r="F99" s="3" t="s">
        <v>192</v>
      </c>
      <c r="G99" s="3">
        <v>2016</v>
      </c>
      <c r="H99" s="3" t="str">
        <f>CONCATENATE("64240512000")</f>
        <v>64240512000</v>
      </c>
      <c r="I99" s="3" t="s">
        <v>25</v>
      </c>
      <c r="J99" s="3" t="s">
        <v>26</v>
      </c>
      <c r="K99" s="3" t="str">
        <f t="shared" si="5"/>
        <v/>
      </c>
      <c r="L99" s="3" t="str">
        <f>CONCATENATE("11 11.1 4b")</f>
        <v>11 11.1 4b</v>
      </c>
      <c r="M99" s="3" t="str">
        <f>CONCATENATE("LCNLCU92R08A462C")</f>
        <v>LCNLCU92R08A462C</v>
      </c>
      <c r="N99" s="3" t="s">
        <v>193</v>
      </c>
      <c r="O99" s="3"/>
      <c r="P99" s="4">
        <v>42783</v>
      </c>
      <c r="Q99" s="3" t="s">
        <v>27</v>
      </c>
      <c r="R99" s="3" t="s">
        <v>28</v>
      </c>
      <c r="S99" s="3" t="s">
        <v>29</v>
      </c>
      <c r="T99" s="5">
        <v>21101.72</v>
      </c>
      <c r="U99" s="5">
        <v>9099.06</v>
      </c>
      <c r="V99" s="5">
        <v>8402.7000000000007</v>
      </c>
      <c r="W99" s="5">
        <v>3599.96</v>
      </c>
    </row>
    <row r="100" spans="1:23" ht="60.75">
      <c r="A100" s="3" t="s">
        <v>23</v>
      </c>
      <c r="B100" s="3" t="s">
        <v>24</v>
      </c>
      <c r="C100" s="3" t="s">
        <v>35</v>
      </c>
      <c r="D100" s="3" t="s">
        <v>43</v>
      </c>
      <c r="E100" s="3" t="s">
        <v>32</v>
      </c>
      <c r="F100" s="3" t="s">
        <v>184</v>
      </c>
      <c r="G100" s="3">
        <v>2016</v>
      </c>
      <c r="H100" s="3" t="str">
        <f>CONCATENATE("64240345559")</f>
        <v>64240345559</v>
      </c>
      <c r="I100" s="3" t="s">
        <v>25</v>
      </c>
      <c r="J100" s="3" t="s">
        <v>26</v>
      </c>
      <c r="K100" s="3" t="str">
        <f t="shared" si="5"/>
        <v/>
      </c>
      <c r="L100" s="3" t="str">
        <f>CONCATENATE("11 11.2 4b")</f>
        <v>11 11.2 4b</v>
      </c>
      <c r="M100" s="3" t="str">
        <f>CONCATENATE("SVLLEI35M18F347S")</f>
        <v>SVLLEI35M18F347S</v>
      </c>
      <c r="N100" s="3" t="s">
        <v>194</v>
      </c>
      <c r="O100" s="3"/>
      <c r="P100" s="4">
        <v>42783</v>
      </c>
      <c r="Q100" s="3" t="s">
        <v>27</v>
      </c>
      <c r="R100" s="3" t="s">
        <v>28</v>
      </c>
      <c r="S100" s="3" t="s">
        <v>29</v>
      </c>
      <c r="T100" s="5">
        <v>7958.84</v>
      </c>
      <c r="U100" s="5">
        <v>3431.85</v>
      </c>
      <c r="V100" s="5">
        <v>3169.21</v>
      </c>
      <c r="W100" s="5">
        <v>1357.78</v>
      </c>
    </row>
    <row r="101" spans="1:23" ht="36.75">
      <c r="A101" s="3" t="s">
        <v>23</v>
      </c>
      <c r="B101" s="3" t="s">
        <v>24</v>
      </c>
      <c r="C101" s="3" t="s">
        <v>35</v>
      </c>
      <c r="D101" s="3" t="s">
        <v>43</v>
      </c>
      <c r="E101" s="3" t="s">
        <v>32</v>
      </c>
      <c r="F101" s="3" t="s">
        <v>78</v>
      </c>
      <c r="G101" s="3">
        <v>2016</v>
      </c>
      <c r="H101" s="3" t="str">
        <f>CONCATENATE("64210764250")</f>
        <v>64210764250</v>
      </c>
      <c r="I101" s="3" t="s">
        <v>31</v>
      </c>
      <c r="J101" s="3" t="s">
        <v>26</v>
      </c>
      <c r="K101" s="3" t="str">
        <f t="shared" si="5"/>
        <v/>
      </c>
      <c r="L101" s="3" t="str">
        <f>CONCATENATE("13 13.1 4a")</f>
        <v>13 13.1 4a</v>
      </c>
      <c r="M101" s="3" t="str">
        <f>CONCATENATE("01487790410")</f>
        <v>01487790410</v>
      </c>
      <c r="N101" s="3" t="s">
        <v>195</v>
      </c>
      <c r="O101" s="3"/>
      <c r="P101" s="4">
        <v>42783</v>
      </c>
      <c r="Q101" s="3" t="s">
        <v>27</v>
      </c>
      <c r="R101" s="3" t="s">
        <v>28</v>
      </c>
      <c r="S101" s="3" t="s">
        <v>29</v>
      </c>
      <c r="T101" s="5">
        <v>3845.48</v>
      </c>
      <c r="U101" s="5">
        <v>1658.17</v>
      </c>
      <c r="V101" s="5">
        <v>1531.27</v>
      </c>
      <c r="W101" s="3">
        <v>656.04</v>
      </c>
    </row>
    <row r="102" spans="1:23" ht="60.75">
      <c r="A102" s="3" t="s">
        <v>23</v>
      </c>
      <c r="B102" s="3" t="s">
        <v>24</v>
      </c>
      <c r="C102" s="3" t="s">
        <v>35</v>
      </c>
      <c r="D102" s="3" t="s">
        <v>39</v>
      </c>
      <c r="E102" s="3" t="s">
        <v>30</v>
      </c>
      <c r="F102" s="3" t="s">
        <v>196</v>
      </c>
      <c r="G102" s="3">
        <v>2016</v>
      </c>
      <c r="H102" s="3" t="str">
        <f>CONCATENATE("64240720231")</f>
        <v>64240720231</v>
      </c>
      <c r="I102" s="3" t="s">
        <v>25</v>
      </c>
      <c r="J102" s="3" t="s">
        <v>26</v>
      </c>
      <c r="K102" s="3" t="str">
        <f t="shared" si="5"/>
        <v/>
      </c>
      <c r="L102" s="3" t="str">
        <f>CONCATENATE("11 11.2 4b")</f>
        <v>11 11.2 4b</v>
      </c>
      <c r="M102" s="3" t="str">
        <f>CONCATENATE("SBBLCU79L21E388P")</f>
        <v>SBBLCU79L21E388P</v>
      </c>
      <c r="N102" s="3" t="s">
        <v>197</v>
      </c>
      <c r="O102" s="3"/>
      <c r="P102" s="4">
        <v>42783</v>
      </c>
      <c r="Q102" s="3" t="s">
        <v>27</v>
      </c>
      <c r="R102" s="3" t="s">
        <v>28</v>
      </c>
      <c r="S102" s="3" t="s">
        <v>29</v>
      </c>
      <c r="T102" s="5">
        <v>10193.620000000001</v>
      </c>
      <c r="U102" s="5">
        <v>4395.49</v>
      </c>
      <c r="V102" s="5">
        <v>4059.1</v>
      </c>
      <c r="W102" s="5">
        <v>1739.03</v>
      </c>
    </row>
    <row r="103" spans="1:23" ht="60.75">
      <c r="A103" s="3" t="s">
        <v>23</v>
      </c>
      <c r="B103" s="3" t="s">
        <v>24</v>
      </c>
      <c r="C103" s="3" t="s">
        <v>35</v>
      </c>
      <c r="D103" s="3" t="s">
        <v>48</v>
      </c>
      <c r="E103" s="3" t="s">
        <v>32</v>
      </c>
      <c r="F103" s="3" t="s">
        <v>129</v>
      </c>
      <c r="G103" s="3">
        <v>2016</v>
      </c>
      <c r="H103" s="3" t="str">
        <f>CONCATENATE("64240069779")</f>
        <v>64240069779</v>
      </c>
      <c r="I103" s="3" t="s">
        <v>31</v>
      </c>
      <c r="J103" s="3" t="s">
        <v>26</v>
      </c>
      <c r="K103" s="3" t="str">
        <f t="shared" si="5"/>
        <v/>
      </c>
      <c r="L103" s="3" t="str">
        <f>CONCATENATE("11 11.2 4b")</f>
        <v>11 11.2 4b</v>
      </c>
      <c r="M103" s="3" t="str">
        <f>CONCATENATE("CRVGLD59B14C704B")</f>
        <v>CRVGLD59B14C704B</v>
      </c>
      <c r="N103" s="3" t="s">
        <v>198</v>
      </c>
      <c r="O103" s="3"/>
      <c r="P103" s="4">
        <v>42783</v>
      </c>
      <c r="Q103" s="3" t="s">
        <v>27</v>
      </c>
      <c r="R103" s="3" t="s">
        <v>28</v>
      </c>
      <c r="S103" s="3" t="s">
        <v>29</v>
      </c>
      <c r="T103" s="5">
        <v>2698.74</v>
      </c>
      <c r="U103" s="5">
        <v>1163.7</v>
      </c>
      <c r="V103" s="5">
        <v>1074.6400000000001</v>
      </c>
      <c r="W103" s="3">
        <v>460.4</v>
      </c>
    </row>
    <row r="104" spans="1:23" ht="60.75">
      <c r="A104" s="3" t="s">
        <v>23</v>
      </c>
      <c r="B104" s="3" t="s">
        <v>24</v>
      </c>
      <c r="C104" s="3" t="s">
        <v>35</v>
      </c>
      <c r="D104" s="3" t="s">
        <v>48</v>
      </c>
      <c r="E104" s="3" t="s">
        <v>30</v>
      </c>
      <c r="F104" s="3" t="s">
        <v>157</v>
      </c>
      <c r="G104" s="3">
        <v>2016</v>
      </c>
      <c r="H104" s="3" t="str">
        <f>CONCATENATE("64210428146")</f>
        <v>64210428146</v>
      </c>
      <c r="I104" s="3" t="s">
        <v>25</v>
      </c>
      <c r="J104" s="3" t="s">
        <v>26</v>
      </c>
      <c r="K104" s="3" t="str">
        <f t="shared" si="5"/>
        <v/>
      </c>
      <c r="L104" s="3" t="str">
        <f>CONCATENATE("13 13.1 4a")</f>
        <v>13 13.1 4a</v>
      </c>
      <c r="M104" s="3" t="str">
        <f>CONCATENATE("FTTLSU42L54I436X")</f>
        <v>FTTLSU42L54I436X</v>
      </c>
      <c r="N104" s="3" t="s">
        <v>164</v>
      </c>
      <c r="O104" s="3"/>
      <c r="P104" s="4">
        <v>42783</v>
      </c>
      <c r="Q104" s="3" t="s">
        <v>27</v>
      </c>
      <c r="R104" s="3" t="s">
        <v>28</v>
      </c>
      <c r="S104" s="3" t="s">
        <v>29</v>
      </c>
      <c r="T104" s="5">
        <v>1737.36</v>
      </c>
      <c r="U104" s="3">
        <v>749.15</v>
      </c>
      <c r="V104" s="3">
        <v>691.82</v>
      </c>
      <c r="W104" s="3">
        <v>296.39</v>
      </c>
    </row>
    <row r="105" spans="1:23" ht="36.75">
      <c r="A105" s="3" t="s">
        <v>23</v>
      </c>
      <c r="B105" s="3" t="s">
        <v>24</v>
      </c>
      <c r="C105" s="3" t="s">
        <v>35</v>
      </c>
      <c r="D105" s="3" t="s">
        <v>43</v>
      </c>
      <c r="E105" s="3" t="s">
        <v>30</v>
      </c>
      <c r="F105" s="3" t="s">
        <v>199</v>
      </c>
      <c r="G105" s="3">
        <v>2016</v>
      </c>
      <c r="H105" s="3" t="str">
        <f>CONCATENATE("64240749453")</f>
        <v>64240749453</v>
      </c>
      <c r="I105" s="3" t="s">
        <v>25</v>
      </c>
      <c r="J105" s="3" t="s">
        <v>26</v>
      </c>
      <c r="K105" s="3" t="str">
        <f t="shared" si="5"/>
        <v/>
      </c>
      <c r="L105" s="3" t="str">
        <f>CONCATENATE("10 10.1 4b")</f>
        <v>10 10.1 4b</v>
      </c>
      <c r="M105" s="3" t="str">
        <f>CONCATENATE("02486570415")</f>
        <v>02486570415</v>
      </c>
      <c r="N105" s="3" t="s">
        <v>200</v>
      </c>
      <c r="O105" s="3"/>
      <c r="P105" s="4">
        <v>42783</v>
      </c>
      <c r="Q105" s="3" t="s">
        <v>27</v>
      </c>
      <c r="R105" s="3" t="s">
        <v>28</v>
      </c>
      <c r="S105" s="3" t="s">
        <v>29</v>
      </c>
      <c r="T105" s="5">
        <v>2650.04</v>
      </c>
      <c r="U105" s="5">
        <v>1142.7</v>
      </c>
      <c r="V105" s="5">
        <v>1055.25</v>
      </c>
      <c r="W105" s="3">
        <v>452.09</v>
      </c>
    </row>
    <row r="106" spans="1:23" ht="72.75">
      <c r="A106" s="3" t="s">
        <v>23</v>
      </c>
      <c r="B106" s="3" t="s">
        <v>24</v>
      </c>
      <c r="C106" s="3" t="s">
        <v>35</v>
      </c>
      <c r="D106" s="3" t="s">
        <v>39</v>
      </c>
      <c r="E106" s="3" t="s">
        <v>30</v>
      </c>
      <c r="F106" s="3" t="s">
        <v>84</v>
      </c>
      <c r="G106" s="3">
        <v>2016</v>
      </c>
      <c r="H106" s="3" t="str">
        <f>CONCATENATE("64210692170")</f>
        <v>64210692170</v>
      </c>
      <c r="I106" s="3" t="s">
        <v>25</v>
      </c>
      <c r="J106" s="3" t="s">
        <v>26</v>
      </c>
      <c r="K106" s="3" t="str">
        <f t="shared" si="5"/>
        <v/>
      </c>
      <c r="L106" s="3" t="str">
        <f>CONCATENATE("13 13.1 4a")</f>
        <v>13 13.1 4a</v>
      </c>
      <c r="M106" s="3" t="str">
        <f>CONCATENATE("PCGRMG65A13Z133V")</f>
        <v>PCGRMG65A13Z133V</v>
      </c>
      <c r="N106" s="3" t="s">
        <v>201</v>
      </c>
      <c r="O106" s="3"/>
      <c r="P106" s="4">
        <v>42783</v>
      </c>
      <c r="Q106" s="3" t="s">
        <v>27</v>
      </c>
      <c r="R106" s="3" t="s">
        <v>28</v>
      </c>
      <c r="S106" s="3" t="s">
        <v>29</v>
      </c>
      <c r="T106" s="5">
        <v>4590</v>
      </c>
      <c r="U106" s="5">
        <v>1979.21</v>
      </c>
      <c r="V106" s="5">
        <v>1827.74</v>
      </c>
      <c r="W106" s="3">
        <v>783.05</v>
      </c>
    </row>
    <row r="107" spans="1:23" ht="60.75">
      <c r="A107" s="3" t="s">
        <v>23</v>
      </c>
      <c r="B107" s="3" t="s">
        <v>24</v>
      </c>
      <c r="C107" s="3" t="s">
        <v>35</v>
      </c>
      <c r="D107" s="3" t="s">
        <v>39</v>
      </c>
      <c r="E107" s="3" t="s">
        <v>30</v>
      </c>
      <c r="F107" s="3" t="s">
        <v>196</v>
      </c>
      <c r="G107" s="3">
        <v>2016</v>
      </c>
      <c r="H107" s="3" t="str">
        <f>CONCATENATE("64240740080")</f>
        <v>64240740080</v>
      </c>
      <c r="I107" s="3" t="s">
        <v>25</v>
      </c>
      <c r="J107" s="3" t="s">
        <v>26</v>
      </c>
      <c r="K107" s="3" t="str">
        <f t="shared" si="5"/>
        <v/>
      </c>
      <c r="L107" s="3" t="str">
        <f>CONCATENATE("10 10.1 4a")</f>
        <v>10 10.1 4a</v>
      </c>
      <c r="M107" s="3" t="str">
        <f>CONCATENATE("CLLFNC40C16H979D")</f>
        <v>CLLFNC40C16H979D</v>
      </c>
      <c r="N107" s="3" t="s">
        <v>202</v>
      </c>
      <c r="O107" s="3"/>
      <c r="P107" s="4">
        <v>42783</v>
      </c>
      <c r="Q107" s="3" t="s">
        <v>27</v>
      </c>
      <c r="R107" s="3" t="s">
        <v>28</v>
      </c>
      <c r="S107" s="3" t="s">
        <v>29</v>
      </c>
      <c r="T107" s="3">
        <v>330.49</v>
      </c>
      <c r="U107" s="3">
        <v>142.51</v>
      </c>
      <c r="V107" s="3">
        <v>131.6</v>
      </c>
      <c r="W107" s="3">
        <v>56.38</v>
      </c>
    </row>
    <row r="108" spans="1:23" ht="60.75">
      <c r="A108" s="3" t="s">
        <v>23</v>
      </c>
      <c r="B108" s="3" t="s">
        <v>24</v>
      </c>
      <c r="C108" s="3" t="s">
        <v>35</v>
      </c>
      <c r="D108" s="3" t="s">
        <v>39</v>
      </c>
      <c r="E108" s="3" t="s">
        <v>32</v>
      </c>
      <c r="F108" s="3" t="s">
        <v>203</v>
      </c>
      <c r="G108" s="3">
        <v>2016</v>
      </c>
      <c r="H108" s="3" t="str">
        <f>CONCATENATE("64240347803")</f>
        <v>64240347803</v>
      </c>
      <c r="I108" s="3" t="s">
        <v>25</v>
      </c>
      <c r="J108" s="3" t="s">
        <v>26</v>
      </c>
      <c r="K108" s="3" t="str">
        <f t="shared" si="5"/>
        <v/>
      </c>
      <c r="L108" s="3" t="str">
        <f t="shared" ref="L108:L113" si="6">CONCATENATE("11 11.2 4b")</f>
        <v>11 11.2 4b</v>
      </c>
      <c r="M108" s="3" t="str">
        <f>CONCATENATE("SRRMCC55E60H501G")</f>
        <v>SRRMCC55E60H501G</v>
      </c>
      <c r="N108" s="3" t="s">
        <v>204</v>
      </c>
      <c r="O108" s="3"/>
      <c r="P108" s="4">
        <v>42783</v>
      </c>
      <c r="Q108" s="3" t="s">
        <v>27</v>
      </c>
      <c r="R108" s="3" t="s">
        <v>28</v>
      </c>
      <c r="S108" s="3" t="s">
        <v>29</v>
      </c>
      <c r="T108" s="5">
        <v>1038.3800000000001</v>
      </c>
      <c r="U108" s="3">
        <v>447.75</v>
      </c>
      <c r="V108" s="3">
        <v>413.48</v>
      </c>
      <c r="W108" s="3">
        <v>177.15</v>
      </c>
    </row>
    <row r="109" spans="1:23" ht="36.75">
      <c r="A109" s="3" t="s">
        <v>23</v>
      </c>
      <c r="B109" s="3" t="s">
        <v>24</v>
      </c>
      <c r="C109" s="3" t="s">
        <v>35</v>
      </c>
      <c r="D109" s="3" t="s">
        <v>43</v>
      </c>
      <c r="E109" s="3" t="s">
        <v>32</v>
      </c>
      <c r="F109" s="3" t="s">
        <v>148</v>
      </c>
      <c r="G109" s="3">
        <v>2016</v>
      </c>
      <c r="H109" s="3" t="str">
        <f>CONCATENATE("64240642013")</f>
        <v>64240642013</v>
      </c>
      <c r="I109" s="3" t="s">
        <v>25</v>
      </c>
      <c r="J109" s="3" t="s">
        <v>26</v>
      </c>
      <c r="K109" s="3" t="str">
        <f t="shared" si="5"/>
        <v/>
      </c>
      <c r="L109" s="3" t="str">
        <f t="shared" si="6"/>
        <v>11 11.2 4b</v>
      </c>
      <c r="M109" s="3" t="str">
        <f>CONCATENATE("00362580417")</f>
        <v>00362580417</v>
      </c>
      <c r="N109" s="3" t="s">
        <v>205</v>
      </c>
      <c r="O109" s="3"/>
      <c r="P109" s="4">
        <v>42783</v>
      </c>
      <c r="Q109" s="3" t="s">
        <v>27</v>
      </c>
      <c r="R109" s="3" t="s">
        <v>28</v>
      </c>
      <c r="S109" s="3" t="s">
        <v>29</v>
      </c>
      <c r="T109" s="5">
        <v>3502.42</v>
      </c>
      <c r="U109" s="5">
        <v>1510.24</v>
      </c>
      <c r="V109" s="5">
        <v>1394.66</v>
      </c>
      <c r="W109" s="3">
        <v>597.52</v>
      </c>
    </row>
    <row r="110" spans="1:23" ht="60.75">
      <c r="A110" s="3" t="s">
        <v>23</v>
      </c>
      <c r="B110" s="3" t="s">
        <v>24</v>
      </c>
      <c r="C110" s="3" t="s">
        <v>35</v>
      </c>
      <c r="D110" s="3" t="s">
        <v>39</v>
      </c>
      <c r="E110" s="3" t="s">
        <v>32</v>
      </c>
      <c r="F110" s="3" t="s">
        <v>117</v>
      </c>
      <c r="G110" s="3">
        <v>2016</v>
      </c>
      <c r="H110" s="3" t="str">
        <f>CONCATENATE("64240485363")</f>
        <v>64240485363</v>
      </c>
      <c r="I110" s="3" t="s">
        <v>25</v>
      </c>
      <c r="J110" s="3" t="s">
        <v>26</v>
      </c>
      <c r="K110" s="3" t="str">
        <f t="shared" si="5"/>
        <v/>
      </c>
      <c r="L110" s="3" t="str">
        <f t="shared" si="6"/>
        <v>11 11.2 4b</v>
      </c>
      <c r="M110" s="3" t="str">
        <f>CONCATENATE("GGGMLE89B03I608D")</f>
        <v>GGGMLE89B03I608D</v>
      </c>
      <c r="N110" s="3" t="s">
        <v>206</v>
      </c>
      <c r="O110" s="3"/>
      <c r="P110" s="4">
        <v>42783</v>
      </c>
      <c r="Q110" s="3" t="s">
        <v>27</v>
      </c>
      <c r="R110" s="3" t="s">
        <v>28</v>
      </c>
      <c r="S110" s="3" t="s">
        <v>29</v>
      </c>
      <c r="T110" s="5">
        <v>2854.43</v>
      </c>
      <c r="U110" s="5">
        <v>1230.83</v>
      </c>
      <c r="V110" s="5">
        <v>1136.6300000000001</v>
      </c>
      <c r="W110" s="3">
        <v>486.97</v>
      </c>
    </row>
    <row r="111" spans="1:23" ht="60.75">
      <c r="A111" s="3" t="s">
        <v>23</v>
      </c>
      <c r="B111" s="3" t="s">
        <v>24</v>
      </c>
      <c r="C111" s="3" t="s">
        <v>35</v>
      </c>
      <c r="D111" s="3" t="s">
        <v>43</v>
      </c>
      <c r="E111" s="3" t="s">
        <v>32</v>
      </c>
      <c r="F111" s="3" t="s">
        <v>78</v>
      </c>
      <c r="G111" s="3">
        <v>2016</v>
      </c>
      <c r="H111" s="3" t="str">
        <f>CONCATENATE("64240313276")</f>
        <v>64240313276</v>
      </c>
      <c r="I111" s="3" t="s">
        <v>25</v>
      </c>
      <c r="J111" s="3" t="s">
        <v>26</v>
      </c>
      <c r="K111" s="3" t="str">
        <f t="shared" si="5"/>
        <v/>
      </c>
      <c r="L111" s="3" t="str">
        <f t="shared" si="6"/>
        <v>11 11.2 4b</v>
      </c>
      <c r="M111" s="3" t="str">
        <f>CONCATENATE("SPRLRN55C12L500R")</f>
        <v>SPRLRN55C12L500R</v>
      </c>
      <c r="N111" s="3" t="s">
        <v>207</v>
      </c>
      <c r="O111" s="3"/>
      <c r="P111" s="4">
        <v>42783</v>
      </c>
      <c r="Q111" s="3" t="s">
        <v>27</v>
      </c>
      <c r="R111" s="3" t="s">
        <v>28</v>
      </c>
      <c r="S111" s="3" t="s">
        <v>29</v>
      </c>
      <c r="T111" s="5">
        <v>2516.61</v>
      </c>
      <c r="U111" s="5">
        <v>1085.1600000000001</v>
      </c>
      <c r="V111" s="5">
        <v>1002.11</v>
      </c>
      <c r="W111" s="3">
        <v>429.34</v>
      </c>
    </row>
    <row r="112" spans="1:23" ht="60.75">
      <c r="A112" s="3" t="s">
        <v>23</v>
      </c>
      <c r="B112" s="3" t="s">
        <v>24</v>
      </c>
      <c r="C112" s="3" t="s">
        <v>35</v>
      </c>
      <c r="D112" s="3" t="s">
        <v>36</v>
      </c>
      <c r="E112" s="3" t="s">
        <v>32</v>
      </c>
      <c r="F112" s="3" t="s">
        <v>208</v>
      </c>
      <c r="G112" s="3">
        <v>2016</v>
      </c>
      <c r="H112" s="3" t="str">
        <f>CONCATENATE("64240270682")</f>
        <v>64240270682</v>
      </c>
      <c r="I112" s="3" t="s">
        <v>25</v>
      </c>
      <c r="J112" s="3" t="s">
        <v>26</v>
      </c>
      <c r="K112" s="3" t="str">
        <f t="shared" si="5"/>
        <v/>
      </c>
      <c r="L112" s="3" t="str">
        <f t="shared" si="6"/>
        <v>11 11.2 4b</v>
      </c>
      <c r="M112" s="3" t="str">
        <f>CONCATENATE("CRBSTM31B09C321C")</f>
        <v>CRBSTM31B09C321C</v>
      </c>
      <c r="N112" s="3" t="s">
        <v>209</v>
      </c>
      <c r="O112" s="3"/>
      <c r="P112" s="4">
        <v>42783</v>
      </c>
      <c r="Q112" s="3" t="s">
        <v>27</v>
      </c>
      <c r="R112" s="3" t="s">
        <v>28</v>
      </c>
      <c r="S112" s="3" t="s">
        <v>29</v>
      </c>
      <c r="T112" s="5">
        <v>3184.41</v>
      </c>
      <c r="U112" s="5">
        <v>1373.12</v>
      </c>
      <c r="V112" s="5">
        <v>1268.03</v>
      </c>
      <c r="W112" s="3">
        <v>543.26</v>
      </c>
    </row>
    <row r="113" spans="1:23" ht="60.75">
      <c r="A113" s="3" t="s">
        <v>23</v>
      </c>
      <c r="B113" s="3" t="s">
        <v>24</v>
      </c>
      <c r="C113" s="3" t="s">
        <v>35</v>
      </c>
      <c r="D113" s="3" t="s">
        <v>36</v>
      </c>
      <c r="E113" s="3" t="s">
        <v>32</v>
      </c>
      <c r="F113" s="3" t="s">
        <v>208</v>
      </c>
      <c r="G113" s="3">
        <v>2016</v>
      </c>
      <c r="H113" s="3" t="str">
        <f>CONCATENATE("64240251583")</f>
        <v>64240251583</v>
      </c>
      <c r="I113" s="3" t="s">
        <v>25</v>
      </c>
      <c r="J113" s="3" t="s">
        <v>26</v>
      </c>
      <c r="K113" s="3" t="str">
        <f t="shared" si="5"/>
        <v/>
      </c>
      <c r="L113" s="3" t="str">
        <f t="shared" si="6"/>
        <v>11 11.2 4b</v>
      </c>
      <c r="M113" s="3" t="str">
        <f>CONCATENATE("MRCFNN65T30G005G")</f>
        <v>MRCFNN65T30G005G</v>
      </c>
      <c r="N113" s="3" t="s">
        <v>210</v>
      </c>
      <c r="O113" s="3"/>
      <c r="P113" s="4">
        <v>42783</v>
      </c>
      <c r="Q113" s="3" t="s">
        <v>27</v>
      </c>
      <c r="R113" s="3" t="s">
        <v>28</v>
      </c>
      <c r="S113" s="3" t="s">
        <v>29</v>
      </c>
      <c r="T113" s="5">
        <v>1385.69</v>
      </c>
      <c r="U113" s="3">
        <v>597.51</v>
      </c>
      <c r="V113" s="3">
        <v>551.78</v>
      </c>
      <c r="W113" s="3">
        <v>236.4</v>
      </c>
    </row>
    <row r="114" spans="1:23" ht="60.75">
      <c r="A114" s="3" t="s">
        <v>23</v>
      </c>
      <c r="B114" s="3" t="s">
        <v>24</v>
      </c>
      <c r="C114" s="3" t="s">
        <v>35</v>
      </c>
      <c r="D114" s="3" t="s">
        <v>36</v>
      </c>
      <c r="E114" s="3" t="s">
        <v>30</v>
      </c>
      <c r="F114" s="3" t="s">
        <v>37</v>
      </c>
      <c r="G114" s="3">
        <v>2016</v>
      </c>
      <c r="H114" s="3" t="str">
        <f>CONCATENATE("64210332819")</f>
        <v>64210332819</v>
      </c>
      <c r="I114" s="3" t="s">
        <v>25</v>
      </c>
      <c r="J114" s="3" t="s">
        <v>26</v>
      </c>
      <c r="K114" s="3" t="str">
        <f t="shared" si="5"/>
        <v/>
      </c>
      <c r="L114" s="3" t="str">
        <f>CONCATENATE("13 13.1 4a")</f>
        <v>13 13.1 4a</v>
      </c>
      <c r="M114" s="3" t="str">
        <f>CONCATENATE("ZCCSTN45A03F570T")</f>
        <v>ZCCSTN45A03F570T</v>
      </c>
      <c r="N114" s="3" t="s">
        <v>211</v>
      </c>
      <c r="O114" s="3"/>
      <c r="P114" s="4">
        <v>42783</v>
      </c>
      <c r="Q114" s="3" t="s">
        <v>27</v>
      </c>
      <c r="R114" s="3" t="s">
        <v>28</v>
      </c>
      <c r="S114" s="3" t="s">
        <v>29</v>
      </c>
      <c r="T114" s="5">
        <v>1437.7</v>
      </c>
      <c r="U114" s="3">
        <v>619.94000000000005</v>
      </c>
      <c r="V114" s="3">
        <v>572.49</v>
      </c>
      <c r="W114" s="3">
        <v>245.27</v>
      </c>
    </row>
    <row r="115" spans="1:23" ht="60.75">
      <c r="A115" s="3" t="s">
        <v>23</v>
      </c>
      <c r="B115" s="3" t="s">
        <v>24</v>
      </c>
      <c r="C115" s="3" t="s">
        <v>35</v>
      </c>
      <c r="D115" s="3" t="s">
        <v>48</v>
      </c>
      <c r="E115" s="3" t="s">
        <v>33</v>
      </c>
      <c r="F115" s="3" t="s">
        <v>212</v>
      </c>
      <c r="G115" s="3">
        <v>2016</v>
      </c>
      <c r="H115" s="3" t="str">
        <f>CONCATENATE("64240811071")</f>
        <v>64240811071</v>
      </c>
      <c r="I115" s="3" t="s">
        <v>25</v>
      </c>
      <c r="J115" s="3" t="s">
        <v>26</v>
      </c>
      <c r="K115" s="3" t="str">
        <f t="shared" si="5"/>
        <v/>
      </c>
      <c r="L115" s="3" t="str">
        <f>CONCATENATE("11 11.2 4b")</f>
        <v>11 11.2 4b</v>
      </c>
      <c r="M115" s="3" t="str">
        <f>CONCATENATE("BSSGLI65A18F104Z")</f>
        <v>BSSGLI65A18F104Z</v>
      </c>
      <c r="N115" s="3" t="s">
        <v>213</v>
      </c>
      <c r="O115" s="3"/>
      <c r="P115" s="4">
        <v>42783</v>
      </c>
      <c r="Q115" s="3" t="s">
        <v>27</v>
      </c>
      <c r="R115" s="3" t="s">
        <v>28</v>
      </c>
      <c r="S115" s="3" t="s">
        <v>29</v>
      </c>
      <c r="T115" s="3">
        <v>999.05</v>
      </c>
      <c r="U115" s="3">
        <v>430.79</v>
      </c>
      <c r="V115" s="3">
        <v>397.82</v>
      </c>
      <c r="W115" s="3">
        <v>170.44</v>
      </c>
    </row>
    <row r="116" spans="1:23" ht="60.75">
      <c r="A116" s="3" t="s">
        <v>23</v>
      </c>
      <c r="B116" s="3" t="s">
        <v>24</v>
      </c>
      <c r="C116" s="3" t="s">
        <v>35</v>
      </c>
      <c r="D116" s="3" t="s">
        <v>48</v>
      </c>
      <c r="E116" s="3" t="s">
        <v>30</v>
      </c>
      <c r="F116" s="3" t="s">
        <v>57</v>
      </c>
      <c r="G116" s="3">
        <v>2016</v>
      </c>
      <c r="H116" s="3" t="str">
        <f>CONCATENATE("64240504296")</f>
        <v>64240504296</v>
      </c>
      <c r="I116" s="3" t="s">
        <v>25</v>
      </c>
      <c r="J116" s="3" t="s">
        <v>26</v>
      </c>
      <c r="K116" s="3" t="str">
        <f t="shared" si="5"/>
        <v/>
      </c>
      <c r="L116" s="3" t="str">
        <f>CONCATENATE("11 11.2 4b")</f>
        <v>11 11.2 4b</v>
      </c>
      <c r="M116" s="3" t="str">
        <f>CONCATENATE("MRADNL66E05C886B")</f>
        <v>MRADNL66E05C886B</v>
      </c>
      <c r="N116" s="3" t="s">
        <v>214</v>
      </c>
      <c r="O116" s="3"/>
      <c r="P116" s="4">
        <v>42783</v>
      </c>
      <c r="Q116" s="3" t="s">
        <v>27</v>
      </c>
      <c r="R116" s="3" t="s">
        <v>28</v>
      </c>
      <c r="S116" s="3" t="s">
        <v>29</v>
      </c>
      <c r="T116" s="5">
        <v>1303.1099999999999</v>
      </c>
      <c r="U116" s="3">
        <v>561.9</v>
      </c>
      <c r="V116" s="3">
        <v>518.9</v>
      </c>
      <c r="W116" s="3">
        <v>222.31</v>
      </c>
    </row>
    <row r="117" spans="1:23" ht="60.75">
      <c r="A117" s="3" t="s">
        <v>23</v>
      </c>
      <c r="B117" s="3" t="s">
        <v>24</v>
      </c>
      <c r="C117" s="3" t="s">
        <v>35</v>
      </c>
      <c r="D117" s="3" t="s">
        <v>48</v>
      </c>
      <c r="E117" s="3" t="s">
        <v>30</v>
      </c>
      <c r="F117" s="3" t="s">
        <v>91</v>
      </c>
      <c r="G117" s="3">
        <v>2016</v>
      </c>
      <c r="H117" s="3" t="str">
        <f>CONCATENATE("64210511982")</f>
        <v>64210511982</v>
      </c>
      <c r="I117" s="3" t="s">
        <v>25</v>
      </c>
      <c r="J117" s="3" t="s">
        <v>26</v>
      </c>
      <c r="K117" s="3" t="str">
        <f t="shared" si="5"/>
        <v/>
      </c>
      <c r="L117" s="3" t="str">
        <f>CONCATENATE("13 13.1 4a")</f>
        <v>13 13.1 4a</v>
      </c>
      <c r="M117" s="3" t="str">
        <f>CONCATENATE("CPTGRG77S13B474U")</f>
        <v>CPTGRG77S13B474U</v>
      </c>
      <c r="N117" s="3" t="s">
        <v>216</v>
      </c>
      <c r="O117" s="3"/>
      <c r="P117" s="4">
        <v>42783</v>
      </c>
      <c r="Q117" s="3" t="s">
        <v>27</v>
      </c>
      <c r="R117" s="3" t="s">
        <v>28</v>
      </c>
      <c r="S117" s="3" t="s">
        <v>29</v>
      </c>
      <c r="T117" s="5">
        <v>1122</v>
      </c>
      <c r="U117" s="3">
        <v>483.81</v>
      </c>
      <c r="V117" s="3">
        <v>446.78</v>
      </c>
      <c r="W117" s="3">
        <v>191.41</v>
      </c>
    </row>
    <row r="118" spans="1:23" ht="60.75">
      <c r="A118" s="3" t="s">
        <v>23</v>
      </c>
      <c r="B118" s="3" t="s">
        <v>24</v>
      </c>
      <c r="C118" s="3" t="s">
        <v>35</v>
      </c>
      <c r="D118" s="3" t="s">
        <v>36</v>
      </c>
      <c r="E118" s="3" t="s">
        <v>32</v>
      </c>
      <c r="F118" s="3" t="s">
        <v>127</v>
      </c>
      <c r="G118" s="3">
        <v>2016</v>
      </c>
      <c r="H118" s="3" t="str">
        <f>CONCATENATE("64240597167")</f>
        <v>64240597167</v>
      </c>
      <c r="I118" s="3" t="s">
        <v>25</v>
      </c>
      <c r="J118" s="3" t="s">
        <v>26</v>
      </c>
      <c r="K118" s="3" t="str">
        <f t="shared" si="5"/>
        <v/>
      </c>
      <c r="L118" s="3" t="str">
        <f>CONCATENATE("11 11.2 4b")</f>
        <v>11 11.2 4b</v>
      </c>
      <c r="M118" s="3" t="str">
        <f>CONCATENATE("RMEGCM65M25F520W")</f>
        <v>RMEGCM65M25F520W</v>
      </c>
      <c r="N118" s="3" t="s">
        <v>217</v>
      </c>
      <c r="O118" s="3"/>
      <c r="P118" s="4">
        <v>42783</v>
      </c>
      <c r="Q118" s="3" t="s">
        <v>27</v>
      </c>
      <c r="R118" s="3" t="s">
        <v>28</v>
      </c>
      <c r="S118" s="3" t="s">
        <v>29</v>
      </c>
      <c r="T118" s="5">
        <v>15846.8</v>
      </c>
      <c r="U118" s="5">
        <v>6833.14</v>
      </c>
      <c r="V118" s="5">
        <v>6310.2</v>
      </c>
      <c r="W118" s="5">
        <v>2703.46</v>
      </c>
    </row>
    <row r="119" spans="1:23" ht="60.75">
      <c r="A119" s="3" t="s">
        <v>23</v>
      </c>
      <c r="B119" s="3" t="s">
        <v>24</v>
      </c>
      <c r="C119" s="3" t="s">
        <v>35</v>
      </c>
      <c r="D119" s="3" t="s">
        <v>39</v>
      </c>
      <c r="E119" s="3" t="s">
        <v>30</v>
      </c>
      <c r="F119" s="3" t="s">
        <v>40</v>
      </c>
      <c r="G119" s="3">
        <v>2016</v>
      </c>
      <c r="H119" s="3" t="str">
        <f>CONCATENATE("64240529020")</f>
        <v>64240529020</v>
      </c>
      <c r="I119" s="3" t="s">
        <v>25</v>
      </c>
      <c r="J119" s="3" t="s">
        <v>26</v>
      </c>
      <c r="K119" s="3" t="str">
        <f t="shared" si="5"/>
        <v/>
      </c>
      <c r="L119" s="3" t="str">
        <f>CONCATENATE("11 11.2 4b")</f>
        <v>11 11.2 4b</v>
      </c>
      <c r="M119" s="3" t="str">
        <f>CONCATENATE("RDCDNL67H49I071A")</f>
        <v>RDCDNL67H49I071A</v>
      </c>
      <c r="N119" s="3" t="s">
        <v>218</v>
      </c>
      <c r="O119" s="3"/>
      <c r="P119" s="4">
        <v>42783</v>
      </c>
      <c r="Q119" s="3" t="s">
        <v>27</v>
      </c>
      <c r="R119" s="3" t="s">
        <v>28</v>
      </c>
      <c r="S119" s="3" t="s">
        <v>29</v>
      </c>
      <c r="T119" s="5">
        <v>1043.24</v>
      </c>
      <c r="U119" s="3">
        <v>449.85</v>
      </c>
      <c r="V119" s="3">
        <v>415.42</v>
      </c>
      <c r="W119" s="3">
        <v>177.97</v>
      </c>
    </row>
    <row r="120" spans="1:23" ht="36.75">
      <c r="A120" s="3" t="s">
        <v>23</v>
      </c>
      <c r="B120" s="3" t="s">
        <v>24</v>
      </c>
      <c r="C120" s="3" t="s">
        <v>35</v>
      </c>
      <c r="D120" s="3" t="s">
        <v>39</v>
      </c>
      <c r="E120" s="3" t="s">
        <v>30</v>
      </c>
      <c r="F120" s="3" t="s">
        <v>40</v>
      </c>
      <c r="G120" s="3">
        <v>2016</v>
      </c>
      <c r="H120" s="3" t="str">
        <f>CONCATENATE("64240530382")</f>
        <v>64240530382</v>
      </c>
      <c r="I120" s="3" t="s">
        <v>25</v>
      </c>
      <c r="J120" s="3" t="s">
        <v>26</v>
      </c>
      <c r="K120" s="3" t="str">
        <f t="shared" si="5"/>
        <v/>
      </c>
      <c r="L120" s="3" t="str">
        <f>CONCATENATE("11 11.1 4b")</f>
        <v>11 11.1 4b</v>
      </c>
      <c r="M120" s="3" t="str">
        <f>CONCATENATE("00922500426")</f>
        <v>00922500426</v>
      </c>
      <c r="N120" s="3" t="s">
        <v>219</v>
      </c>
      <c r="O120" s="3"/>
      <c r="P120" s="4">
        <v>42783</v>
      </c>
      <c r="Q120" s="3" t="s">
        <v>27</v>
      </c>
      <c r="R120" s="3" t="s">
        <v>28</v>
      </c>
      <c r="S120" s="3" t="s">
        <v>29</v>
      </c>
      <c r="T120" s="5">
        <v>6128.48</v>
      </c>
      <c r="U120" s="5">
        <v>2642.6</v>
      </c>
      <c r="V120" s="5">
        <v>2440.36</v>
      </c>
      <c r="W120" s="5">
        <v>1045.52</v>
      </c>
    </row>
    <row r="121" spans="1:23" ht="60.75">
      <c r="A121" s="3" t="s">
        <v>23</v>
      </c>
      <c r="B121" s="3" t="s">
        <v>24</v>
      </c>
      <c r="C121" s="3" t="s">
        <v>35</v>
      </c>
      <c r="D121" s="3" t="s">
        <v>43</v>
      </c>
      <c r="E121" s="3" t="s">
        <v>32</v>
      </c>
      <c r="F121" s="3" t="s">
        <v>148</v>
      </c>
      <c r="G121" s="3">
        <v>2016</v>
      </c>
      <c r="H121" s="3" t="str">
        <f>CONCATENATE("64240430740")</f>
        <v>64240430740</v>
      </c>
      <c r="I121" s="3" t="s">
        <v>25</v>
      </c>
      <c r="J121" s="3" t="s">
        <v>26</v>
      </c>
      <c r="K121" s="3" t="str">
        <f t="shared" si="5"/>
        <v/>
      </c>
      <c r="L121" s="3" t="str">
        <f>CONCATENATE("11 11.1 4b")</f>
        <v>11 11.1 4b</v>
      </c>
      <c r="M121" s="3" t="str">
        <f>CONCATENATE("BRTMHL70D56F137K")</f>
        <v>BRTMHL70D56F137K</v>
      </c>
      <c r="N121" s="3" t="s">
        <v>220</v>
      </c>
      <c r="O121" s="3"/>
      <c r="P121" s="4">
        <v>42783</v>
      </c>
      <c r="Q121" s="3" t="s">
        <v>27</v>
      </c>
      <c r="R121" s="3" t="s">
        <v>28</v>
      </c>
      <c r="S121" s="3" t="s">
        <v>29</v>
      </c>
      <c r="T121" s="5">
        <v>1837.92</v>
      </c>
      <c r="U121" s="3">
        <v>792.51</v>
      </c>
      <c r="V121" s="3">
        <v>731.86</v>
      </c>
      <c r="W121" s="3">
        <v>313.55</v>
      </c>
    </row>
    <row r="122" spans="1:23" ht="60.75">
      <c r="A122" s="3" t="s">
        <v>23</v>
      </c>
      <c r="B122" s="3" t="s">
        <v>24</v>
      </c>
      <c r="C122" s="3" t="s">
        <v>35</v>
      </c>
      <c r="D122" s="3" t="s">
        <v>43</v>
      </c>
      <c r="E122" s="3" t="s">
        <v>32</v>
      </c>
      <c r="F122" s="3" t="s">
        <v>184</v>
      </c>
      <c r="G122" s="3">
        <v>2016</v>
      </c>
      <c r="H122" s="3" t="str">
        <f>CONCATENATE("64240345500")</f>
        <v>64240345500</v>
      </c>
      <c r="I122" s="3" t="s">
        <v>25</v>
      </c>
      <c r="J122" s="3" t="s">
        <v>26</v>
      </c>
      <c r="K122" s="3" t="str">
        <f t="shared" si="5"/>
        <v/>
      </c>
      <c r="L122" s="3" t="str">
        <f>CONCATENATE("11 11.2 4b")</f>
        <v>11 11.2 4b</v>
      </c>
      <c r="M122" s="3" t="str">
        <f>CONCATENATE("ZLTRSL57M62D157G")</f>
        <v>ZLTRSL57M62D157G</v>
      </c>
      <c r="N122" s="3" t="s">
        <v>221</v>
      </c>
      <c r="O122" s="3"/>
      <c r="P122" s="4">
        <v>42783</v>
      </c>
      <c r="Q122" s="3" t="s">
        <v>27</v>
      </c>
      <c r="R122" s="3" t="s">
        <v>28</v>
      </c>
      <c r="S122" s="3" t="s">
        <v>29</v>
      </c>
      <c r="T122" s="3">
        <v>413.85</v>
      </c>
      <c r="U122" s="3">
        <v>178.45</v>
      </c>
      <c r="V122" s="3">
        <v>164.8</v>
      </c>
      <c r="W122" s="3">
        <v>70.599999999999994</v>
      </c>
    </row>
    <row r="123" spans="1:23" ht="60.75">
      <c r="A123" s="3" t="s">
        <v>23</v>
      </c>
      <c r="B123" s="3" t="s">
        <v>24</v>
      </c>
      <c r="C123" s="3" t="s">
        <v>35</v>
      </c>
      <c r="D123" s="3" t="s">
        <v>48</v>
      </c>
      <c r="E123" s="3" t="s">
        <v>49</v>
      </c>
      <c r="F123" s="3" t="s">
        <v>80</v>
      </c>
      <c r="G123" s="3">
        <v>2016</v>
      </c>
      <c r="H123" s="3" t="str">
        <f>CONCATENATE("64210655953")</f>
        <v>64210655953</v>
      </c>
      <c r="I123" s="3" t="s">
        <v>25</v>
      </c>
      <c r="J123" s="3" t="s">
        <v>26</v>
      </c>
      <c r="K123" s="3" t="str">
        <f t="shared" si="5"/>
        <v/>
      </c>
      <c r="L123" s="3" t="str">
        <f>CONCATENATE("13 13.1 4a")</f>
        <v>13 13.1 4a</v>
      </c>
      <c r="M123" s="3" t="str">
        <f>CONCATENATE("KNSNJA64E44Z112D")</f>
        <v>KNSNJA64E44Z112D</v>
      </c>
      <c r="N123" s="3" t="s">
        <v>222</v>
      </c>
      <c r="O123" s="3"/>
      <c r="P123" s="4">
        <v>42783</v>
      </c>
      <c r="Q123" s="3" t="s">
        <v>27</v>
      </c>
      <c r="R123" s="3" t="s">
        <v>28</v>
      </c>
      <c r="S123" s="3" t="s">
        <v>29</v>
      </c>
      <c r="T123" s="3">
        <v>940.6</v>
      </c>
      <c r="U123" s="3">
        <v>405.59</v>
      </c>
      <c r="V123" s="3">
        <v>374.55</v>
      </c>
      <c r="W123" s="3">
        <v>160.46</v>
      </c>
    </row>
    <row r="124" spans="1:23" ht="60.75">
      <c r="A124" s="3" t="s">
        <v>23</v>
      </c>
      <c r="B124" s="3" t="s">
        <v>24</v>
      </c>
      <c r="C124" s="3" t="s">
        <v>35</v>
      </c>
      <c r="D124" s="3" t="s">
        <v>48</v>
      </c>
      <c r="E124" s="3" t="s">
        <v>30</v>
      </c>
      <c r="F124" s="3" t="s">
        <v>84</v>
      </c>
      <c r="G124" s="3">
        <v>2016</v>
      </c>
      <c r="H124" s="3" t="str">
        <f>CONCATENATE("64210920589")</f>
        <v>64210920589</v>
      </c>
      <c r="I124" s="3" t="s">
        <v>25</v>
      </c>
      <c r="J124" s="3" t="s">
        <v>26</v>
      </c>
      <c r="K124" s="3" t="str">
        <f t="shared" si="5"/>
        <v/>
      </c>
      <c r="L124" s="3" t="str">
        <f>CONCATENATE("13 13.1 4a")</f>
        <v>13 13.1 4a</v>
      </c>
      <c r="M124" s="3" t="str">
        <f>CONCATENATE("PCGRNT71C29D451J")</f>
        <v>PCGRNT71C29D451J</v>
      </c>
      <c r="N124" s="3" t="s">
        <v>223</v>
      </c>
      <c r="O124" s="3"/>
      <c r="P124" s="4">
        <v>42783</v>
      </c>
      <c r="Q124" s="3" t="s">
        <v>27</v>
      </c>
      <c r="R124" s="3" t="s">
        <v>28</v>
      </c>
      <c r="S124" s="3" t="s">
        <v>29</v>
      </c>
      <c r="T124" s="5">
        <v>4544.1000000000004</v>
      </c>
      <c r="U124" s="5">
        <v>1959.42</v>
      </c>
      <c r="V124" s="5">
        <v>1809.46</v>
      </c>
      <c r="W124" s="3">
        <v>775.22</v>
      </c>
    </row>
    <row r="125" spans="1:23" ht="72.75">
      <c r="A125" s="3" t="s">
        <v>23</v>
      </c>
      <c r="B125" s="3" t="s">
        <v>24</v>
      </c>
      <c r="C125" s="3" t="s">
        <v>35</v>
      </c>
      <c r="D125" s="3" t="s">
        <v>48</v>
      </c>
      <c r="E125" s="3" t="s">
        <v>30</v>
      </c>
      <c r="F125" s="3" t="s">
        <v>91</v>
      </c>
      <c r="G125" s="3">
        <v>2016</v>
      </c>
      <c r="H125" s="3" t="str">
        <f>CONCATENATE("64240318424")</f>
        <v>64240318424</v>
      </c>
      <c r="I125" s="3" t="s">
        <v>25</v>
      </c>
      <c r="J125" s="3" t="s">
        <v>26</v>
      </c>
      <c r="K125" s="3" t="str">
        <f t="shared" si="5"/>
        <v/>
      </c>
      <c r="L125" s="3" t="str">
        <f>CONCATENATE("11 11.2 4b")</f>
        <v>11 11.2 4b</v>
      </c>
      <c r="M125" s="3" t="str">
        <f>CONCATENATE("RVLMRA43B04H501Q")</f>
        <v>RVLMRA43B04H501Q</v>
      </c>
      <c r="N125" s="3" t="s">
        <v>224</v>
      </c>
      <c r="O125" s="3"/>
      <c r="P125" s="4">
        <v>42783</v>
      </c>
      <c r="Q125" s="3" t="s">
        <v>27</v>
      </c>
      <c r="R125" s="3" t="s">
        <v>28</v>
      </c>
      <c r="S125" s="3" t="s">
        <v>29</v>
      </c>
      <c r="T125" s="5">
        <v>34388.51</v>
      </c>
      <c r="U125" s="5">
        <v>14828.33</v>
      </c>
      <c r="V125" s="5">
        <v>13693.5</v>
      </c>
      <c r="W125" s="5">
        <v>5866.68</v>
      </c>
    </row>
    <row r="126" spans="1:23" ht="60.75">
      <c r="A126" s="3" t="s">
        <v>23</v>
      </c>
      <c r="B126" s="3" t="s">
        <v>24</v>
      </c>
      <c r="C126" s="3" t="s">
        <v>35</v>
      </c>
      <c r="D126" s="3" t="s">
        <v>39</v>
      </c>
      <c r="E126" s="3" t="s">
        <v>32</v>
      </c>
      <c r="F126" s="3" t="s">
        <v>69</v>
      </c>
      <c r="G126" s="3">
        <v>2016</v>
      </c>
      <c r="H126" s="3" t="str">
        <f>CONCATENATE("64210326662")</f>
        <v>64210326662</v>
      </c>
      <c r="I126" s="3" t="s">
        <v>25</v>
      </c>
      <c r="J126" s="3" t="s">
        <v>26</v>
      </c>
      <c r="K126" s="3" t="str">
        <f t="shared" si="5"/>
        <v/>
      </c>
      <c r="L126" s="3" t="str">
        <f>CONCATENATE("13 13.1 4a")</f>
        <v>13 13.1 4a</v>
      </c>
      <c r="M126" s="3" t="str">
        <f>CONCATENATE("BRNDLE40A15D451L")</f>
        <v>BRNDLE40A15D451L</v>
      </c>
      <c r="N126" s="3" t="s">
        <v>225</v>
      </c>
      <c r="O126" s="3"/>
      <c r="P126" s="4">
        <v>42783</v>
      </c>
      <c r="Q126" s="3" t="s">
        <v>27</v>
      </c>
      <c r="R126" s="3" t="s">
        <v>28</v>
      </c>
      <c r="S126" s="3" t="s">
        <v>29</v>
      </c>
      <c r="T126" s="5">
        <v>3103.13</v>
      </c>
      <c r="U126" s="5">
        <v>1338.07</v>
      </c>
      <c r="V126" s="5">
        <v>1235.67</v>
      </c>
      <c r="W126" s="3">
        <v>529.39</v>
      </c>
    </row>
    <row r="127" spans="1:23" ht="36.75">
      <c r="A127" s="3" t="s">
        <v>23</v>
      </c>
      <c r="B127" s="3" t="s">
        <v>24</v>
      </c>
      <c r="C127" s="3" t="s">
        <v>35</v>
      </c>
      <c r="D127" s="3" t="s">
        <v>36</v>
      </c>
      <c r="E127" s="3" t="s">
        <v>30</v>
      </c>
      <c r="F127" s="3" t="s">
        <v>37</v>
      </c>
      <c r="G127" s="3">
        <v>2016</v>
      </c>
      <c r="H127" s="3" t="str">
        <f>CONCATENATE("64240506002")</f>
        <v>64240506002</v>
      </c>
      <c r="I127" s="3" t="s">
        <v>31</v>
      </c>
      <c r="J127" s="3" t="s">
        <v>26</v>
      </c>
      <c r="K127" s="3" t="str">
        <f t="shared" si="5"/>
        <v/>
      </c>
      <c r="L127" s="3" t="str">
        <f>CONCATENATE("10 10.1 4a")</f>
        <v>10 10.1 4a</v>
      </c>
      <c r="M127" s="3" t="str">
        <f>CONCATENATE("00938480449")</f>
        <v>00938480449</v>
      </c>
      <c r="N127" s="3" t="s">
        <v>226</v>
      </c>
      <c r="O127" s="3"/>
      <c r="P127" s="4">
        <v>42783</v>
      </c>
      <c r="Q127" s="3" t="s">
        <v>27</v>
      </c>
      <c r="R127" s="3" t="s">
        <v>28</v>
      </c>
      <c r="S127" s="3" t="s">
        <v>29</v>
      </c>
      <c r="T127" s="3">
        <v>815.14</v>
      </c>
      <c r="U127" s="3">
        <v>351.49</v>
      </c>
      <c r="V127" s="3">
        <v>324.58999999999997</v>
      </c>
      <c r="W127" s="3">
        <v>139.06</v>
      </c>
    </row>
    <row r="128" spans="1:23" ht="72.75">
      <c r="A128" s="3" t="s">
        <v>23</v>
      </c>
      <c r="B128" s="3" t="s">
        <v>24</v>
      </c>
      <c r="C128" s="3" t="s">
        <v>35</v>
      </c>
      <c r="D128" s="3" t="s">
        <v>39</v>
      </c>
      <c r="E128" s="3" t="s">
        <v>30</v>
      </c>
      <c r="F128" s="3" t="s">
        <v>196</v>
      </c>
      <c r="G128" s="3">
        <v>2016</v>
      </c>
      <c r="H128" s="3" t="str">
        <f>CONCATENATE("64240734786")</f>
        <v>64240734786</v>
      </c>
      <c r="I128" s="3" t="s">
        <v>25</v>
      </c>
      <c r="J128" s="3" t="s">
        <v>26</v>
      </c>
      <c r="K128" s="3" t="str">
        <f t="shared" si="5"/>
        <v/>
      </c>
      <c r="L128" s="3" t="str">
        <f>CONCATENATE("10 10.1 4a")</f>
        <v>10 10.1 4a</v>
      </c>
      <c r="M128" s="3" t="str">
        <f>CONCATENATE("BRTPRN50M23H979H")</f>
        <v>BRTPRN50M23H979H</v>
      </c>
      <c r="N128" s="3" t="s">
        <v>227</v>
      </c>
      <c r="O128" s="3"/>
      <c r="P128" s="4">
        <v>42783</v>
      </c>
      <c r="Q128" s="3" t="s">
        <v>27</v>
      </c>
      <c r="R128" s="3" t="s">
        <v>28</v>
      </c>
      <c r="S128" s="3" t="s">
        <v>29</v>
      </c>
      <c r="T128" s="3">
        <v>388.02</v>
      </c>
      <c r="U128" s="3">
        <v>167.31</v>
      </c>
      <c r="V128" s="3">
        <v>154.51</v>
      </c>
      <c r="W128" s="3">
        <v>66.2</v>
      </c>
    </row>
    <row r="129" spans="1:23" ht="60.75">
      <c r="A129" s="3" t="s">
        <v>23</v>
      </c>
      <c r="B129" s="3" t="s">
        <v>24</v>
      </c>
      <c r="C129" s="3" t="s">
        <v>35</v>
      </c>
      <c r="D129" s="3" t="s">
        <v>39</v>
      </c>
      <c r="E129" s="3" t="s">
        <v>32</v>
      </c>
      <c r="F129" s="3" t="s">
        <v>69</v>
      </c>
      <c r="G129" s="3">
        <v>2016</v>
      </c>
      <c r="H129" s="3" t="str">
        <f>CONCATENATE("64240500096")</f>
        <v>64240500096</v>
      </c>
      <c r="I129" s="3" t="s">
        <v>25</v>
      </c>
      <c r="J129" s="3" t="s">
        <v>26</v>
      </c>
      <c r="K129" s="3" t="str">
        <f t="shared" si="5"/>
        <v/>
      </c>
      <c r="L129" s="3" t="str">
        <f>CONCATENATE("11 11.1 4b")</f>
        <v>11 11.1 4b</v>
      </c>
      <c r="M129" s="3" t="str">
        <f>CONCATENATE("FRRSLV93C62I608H")</f>
        <v>FRRSLV93C62I608H</v>
      </c>
      <c r="N129" s="3" t="s">
        <v>228</v>
      </c>
      <c r="O129" s="3"/>
      <c r="P129" s="4">
        <v>42783</v>
      </c>
      <c r="Q129" s="3" t="s">
        <v>27</v>
      </c>
      <c r="R129" s="3" t="s">
        <v>28</v>
      </c>
      <c r="S129" s="3" t="s">
        <v>29</v>
      </c>
      <c r="T129" s="3">
        <v>830.24</v>
      </c>
      <c r="U129" s="3">
        <v>358</v>
      </c>
      <c r="V129" s="3">
        <v>330.6</v>
      </c>
      <c r="W129" s="3">
        <v>141.63999999999999</v>
      </c>
    </row>
    <row r="130" spans="1:23" ht="48.75">
      <c r="A130" s="3" t="s">
        <v>23</v>
      </c>
      <c r="B130" s="3" t="s">
        <v>24</v>
      </c>
      <c r="C130" s="3" t="s">
        <v>35</v>
      </c>
      <c r="D130" s="3" t="s">
        <v>48</v>
      </c>
      <c r="E130" s="3" t="s">
        <v>30</v>
      </c>
      <c r="F130" s="3" t="s">
        <v>111</v>
      </c>
      <c r="G130" s="3">
        <v>2016</v>
      </c>
      <c r="H130" s="3" t="str">
        <f>CONCATENATE("64240901385")</f>
        <v>64240901385</v>
      </c>
      <c r="I130" s="3" t="s">
        <v>25</v>
      </c>
      <c r="J130" s="3" t="s">
        <v>26</v>
      </c>
      <c r="K130" s="3" t="str">
        <f t="shared" si="5"/>
        <v/>
      </c>
      <c r="L130" s="3" t="str">
        <f>CONCATENATE("11 11.2 4b")</f>
        <v>11 11.2 4b</v>
      </c>
      <c r="M130" s="3" t="str">
        <f>CONCATENATE("GSIFLV76C71E783X")</f>
        <v>GSIFLV76C71E783X</v>
      </c>
      <c r="N130" s="3" t="s">
        <v>229</v>
      </c>
      <c r="O130" s="3"/>
      <c r="P130" s="4">
        <v>42783</v>
      </c>
      <c r="Q130" s="3" t="s">
        <v>27</v>
      </c>
      <c r="R130" s="3" t="s">
        <v>28</v>
      </c>
      <c r="S130" s="3" t="s">
        <v>29</v>
      </c>
      <c r="T130" s="5">
        <v>2593.92</v>
      </c>
      <c r="U130" s="5">
        <v>1118.5</v>
      </c>
      <c r="V130" s="5">
        <v>1032.9000000000001</v>
      </c>
      <c r="W130" s="3">
        <v>442.52</v>
      </c>
    </row>
    <row r="131" spans="1:23" ht="72.75">
      <c r="A131" s="3" t="s">
        <v>23</v>
      </c>
      <c r="B131" s="3" t="s">
        <v>24</v>
      </c>
      <c r="C131" s="3" t="s">
        <v>35</v>
      </c>
      <c r="D131" s="3" t="s">
        <v>36</v>
      </c>
      <c r="E131" s="3" t="s">
        <v>33</v>
      </c>
      <c r="F131" s="3" t="s">
        <v>89</v>
      </c>
      <c r="G131" s="3">
        <v>2016</v>
      </c>
      <c r="H131" s="3" t="str">
        <f>CONCATENATE("64210899650")</f>
        <v>64210899650</v>
      </c>
      <c r="I131" s="3" t="s">
        <v>25</v>
      </c>
      <c r="J131" s="3" t="s">
        <v>26</v>
      </c>
      <c r="K131" s="3" t="str">
        <f t="shared" si="5"/>
        <v/>
      </c>
      <c r="L131" s="3" t="str">
        <f>CONCATENATE("13 13.1 4a")</f>
        <v>13 13.1 4a</v>
      </c>
      <c r="M131" s="3" t="str">
        <f>CONCATENATE("FDRVCN39D66H390B")</f>
        <v>FDRVCN39D66H390B</v>
      </c>
      <c r="N131" s="3" t="s">
        <v>230</v>
      </c>
      <c r="O131" s="3"/>
      <c r="P131" s="4">
        <v>42783</v>
      </c>
      <c r="Q131" s="3" t="s">
        <v>27</v>
      </c>
      <c r="R131" s="3" t="s">
        <v>28</v>
      </c>
      <c r="S131" s="3" t="s">
        <v>29</v>
      </c>
      <c r="T131" s="3">
        <v>460.63</v>
      </c>
      <c r="U131" s="3">
        <v>198.62</v>
      </c>
      <c r="V131" s="3">
        <v>183.42</v>
      </c>
      <c r="W131" s="3">
        <v>78.59</v>
      </c>
    </row>
    <row r="132" spans="1:23" ht="36.75">
      <c r="A132" s="3" t="s">
        <v>23</v>
      </c>
      <c r="B132" s="3" t="s">
        <v>24</v>
      </c>
      <c r="C132" s="3" t="s">
        <v>35</v>
      </c>
      <c r="D132" s="3" t="s">
        <v>36</v>
      </c>
      <c r="E132" s="3" t="s">
        <v>42</v>
      </c>
      <c r="F132" s="3" t="s">
        <v>42</v>
      </c>
      <c r="G132" s="3">
        <v>2016</v>
      </c>
      <c r="H132" s="3" t="str">
        <f>CONCATENATE("64240213880")</f>
        <v>64240213880</v>
      </c>
      <c r="I132" s="3" t="s">
        <v>25</v>
      </c>
      <c r="J132" s="3" t="s">
        <v>26</v>
      </c>
      <c r="K132" s="3" t="str">
        <f t="shared" si="5"/>
        <v/>
      </c>
      <c r="L132" s="3" t="str">
        <f t="shared" ref="L132:L138" si="7">CONCATENATE("11 11.2 4b")</f>
        <v>11 11.2 4b</v>
      </c>
      <c r="M132" s="3" t="str">
        <f>CONCATENATE("01509330443")</f>
        <v>01509330443</v>
      </c>
      <c r="N132" s="3" t="s">
        <v>231</v>
      </c>
      <c r="O132" s="3"/>
      <c r="P132" s="4">
        <v>42783</v>
      </c>
      <c r="Q132" s="3" t="s">
        <v>27</v>
      </c>
      <c r="R132" s="3" t="s">
        <v>28</v>
      </c>
      <c r="S132" s="3" t="s">
        <v>29</v>
      </c>
      <c r="T132" s="5">
        <v>4700.6499999999996</v>
      </c>
      <c r="U132" s="5">
        <v>2026.92</v>
      </c>
      <c r="V132" s="5">
        <v>1871.8</v>
      </c>
      <c r="W132" s="3">
        <v>801.93</v>
      </c>
    </row>
    <row r="133" spans="1:23" ht="36.75">
      <c r="A133" s="3" t="s">
        <v>23</v>
      </c>
      <c r="B133" s="3" t="s">
        <v>24</v>
      </c>
      <c r="C133" s="3" t="s">
        <v>35</v>
      </c>
      <c r="D133" s="3" t="s">
        <v>36</v>
      </c>
      <c r="E133" s="3" t="s">
        <v>30</v>
      </c>
      <c r="F133" s="3" t="s">
        <v>53</v>
      </c>
      <c r="G133" s="3">
        <v>2016</v>
      </c>
      <c r="H133" s="3" t="str">
        <f>CONCATENATE("64240377321")</f>
        <v>64240377321</v>
      </c>
      <c r="I133" s="3" t="s">
        <v>25</v>
      </c>
      <c r="J133" s="3" t="s">
        <v>26</v>
      </c>
      <c r="K133" s="3" t="str">
        <f t="shared" si="5"/>
        <v/>
      </c>
      <c r="L133" s="3" t="str">
        <f t="shared" si="7"/>
        <v>11 11.2 4b</v>
      </c>
      <c r="M133" s="3" t="str">
        <f>CONCATENATE("01763490446")</f>
        <v>01763490446</v>
      </c>
      <c r="N133" s="3" t="s">
        <v>232</v>
      </c>
      <c r="O133" s="3"/>
      <c r="P133" s="4">
        <v>42783</v>
      </c>
      <c r="Q133" s="3" t="s">
        <v>27</v>
      </c>
      <c r="R133" s="3" t="s">
        <v>28</v>
      </c>
      <c r="S133" s="3" t="s">
        <v>29</v>
      </c>
      <c r="T133" s="5">
        <v>1447.88</v>
      </c>
      <c r="U133" s="3">
        <v>624.33000000000004</v>
      </c>
      <c r="V133" s="3">
        <v>576.54999999999995</v>
      </c>
      <c r="W133" s="3">
        <v>247</v>
      </c>
    </row>
    <row r="134" spans="1:23" ht="36.75">
      <c r="A134" s="3" t="s">
        <v>23</v>
      </c>
      <c r="B134" s="3" t="s">
        <v>24</v>
      </c>
      <c r="C134" s="3" t="s">
        <v>35</v>
      </c>
      <c r="D134" s="3" t="s">
        <v>48</v>
      </c>
      <c r="E134" s="3" t="s">
        <v>30</v>
      </c>
      <c r="F134" s="3" t="s">
        <v>91</v>
      </c>
      <c r="G134" s="3">
        <v>2016</v>
      </c>
      <c r="H134" s="3" t="str">
        <f>CONCATENATE("64240319497")</f>
        <v>64240319497</v>
      </c>
      <c r="I134" s="3" t="s">
        <v>25</v>
      </c>
      <c r="J134" s="3" t="s">
        <v>26</v>
      </c>
      <c r="K134" s="3" t="str">
        <f t="shared" si="5"/>
        <v/>
      </c>
      <c r="L134" s="3" t="str">
        <f t="shared" si="7"/>
        <v>11 11.2 4b</v>
      </c>
      <c r="M134" s="3" t="str">
        <f>CONCATENATE("01641480437")</f>
        <v>01641480437</v>
      </c>
      <c r="N134" s="3" t="s">
        <v>233</v>
      </c>
      <c r="O134" s="3"/>
      <c r="P134" s="4">
        <v>42783</v>
      </c>
      <c r="Q134" s="3" t="s">
        <v>27</v>
      </c>
      <c r="R134" s="3" t="s">
        <v>28</v>
      </c>
      <c r="S134" s="3" t="s">
        <v>29</v>
      </c>
      <c r="T134" s="5">
        <v>7573.86</v>
      </c>
      <c r="U134" s="5">
        <v>3265.85</v>
      </c>
      <c r="V134" s="5">
        <v>3015.91</v>
      </c>
      <c r="W134" s="5">
        <v>1292.0999999999999</v>
      </c>
    </row>
    <row r="135" spans="1:23" ht="60.75">
      <c r="A135" s="3" t="s">
        <v>23</v>
      </c>
      <c r="B135" s="3" t="s">
        <v>24</v>
      </c>
      <c r="C135" s="3" t="s">
        <v>35</v>
      </c>
      <c r="D135" s="3" t="s">
        <v>39</v>
      </c>
      <c r="E135" s="3" t="s">
        <v>30</v>
      </c>
      <c r="F135" s="3" t="s">
        <v>40</v>
      </c>
      <c r="G135" s="3">
        <v>2016</v>
      </c>
      <c r="H135" s="3" t="str">
        <f>CONCATENATE("64240530069")</f>
        <v>64240530069</v>
      </c>
      <c r="I135" s="3" t="s">
        <v>25</v>
      </c>
      <c r="J135" s="3" t="s">
        <v>26</v>
      </c>
      <c r="K135" s="3" t="str">
        <f t="shared" si="5"/>
        <v/>
      </c>
      <c r="L135" s="3" t="str">
        <f t="shared" si="7"/>
        <v>11 11.2 4b</v>
      </c>
      <c r="M135" s="3" t="str">
        <f>CONCATENATE("TRTLRS50S46A895L")</f>
        <v>TRTLRS50S46A895L</v>
      </c>
      <c r="N135" s="3" t="s">
        <v>234</v>
      </c>
      <c r="O135" s="3"/>
      <c r="P135" s="4">
        <v>42783</v>
      </c>
      <c r="Q135" s="3" t="s">
        <v>27</v>
      </c>
      <c r="R135" s="3" t="s">
        <v>28</v>
      </c>
      <c r="S135" s="3" t="s">
        <v>29</v>
      </c>
      <c r="T135" s="5">
        <v>4489.74</v>
      </c>
      <c r="U135" s="5">
        <v>1935.98</v>
      </c>
      <c r="V135" s="5">
        <v>1787.81</v>
      </c>
      <c r="W135" s="3">
        <v>765.95</v>
      </c>
    </row>
    <row r="136" spans="1:23" ht="60.75">
      <c r="A136" s="3" t="s">
        <v>23</v>
      </c>
      <c r="B136" s="3" t="s">
        <v>24</v>
      </c>
      <c r="C136" s="3" t="s">
        <v>35</v>
      </c>
      <c r="D136" s="3" t="s">
        <v>48</v>
      </c>
      <c r="E136" s="3" t="s">
        <v>49</v>
      </c>
      <c r="F136" s="3" t="s">
        <v>50</v>
      </c>
      <c r="G136" s="3">
        <v>2016</v>
      </c>
      <c r="H136" s="3" t="str">
        <f>CONCATENATE("64240611430")</f>
        <v>64240611430</v>
      </c>
      <c r="I136" s="3" t="s">
        <v>25</v>
      </c>
      <c r="J136" s="3" t="s">
        <v>26</v>
      </c>
      <c r="K136" s="3" t="str">
        <f t="shared" ref="K136:K199" si="8">CONCATENATE("")</f>
        <v/>
      </c>
      <c r="L136" s="3" t="str">
        <f t="shared" si="7"/>
        <v>11 11.2 4b</v>
      </c>
      <c r="M136" s="3" t="str">
        <f>CONCATENATE("ZMPRLD36B11A329C")</f>
        <v>ZMPRLD36B11A329C</v>
      </c>
      <c r="N136" s="3" t="s">
        <v>235</v>
      </c>
      <c r="O136" s="3"/>
      <c r="P136" s="4">
        <v>42783</v>
      </c>
      <c r="Q136" s="3" t="s">
        <v>27</v>
      </c>
      <c r="R136" s="3" t="s">
        <v>28</v>
      </c>
      <c r="S136" s="3" t="s">
        <v>29</v>
      </c>
      <c r="T136" s="5">
        <v>3471.51</v>
      </c>
      <c r="U136" s="5">
        <v>1496.92</v>
      </c>
      <c r="V136" s="5">
        <v>1382.36</v>
      </c>
      <c r="W136" s="3">
        <v>592.23</v>
      </c>
    </row>
    <row r="137" spans="1:23" ht="60.75">
      <c r="A137" s="3" t="s">
        <v>23</v>
      </c>
      <c r="B137" s="3" t="s">
        <v>24</v>
      </c>
      <c r="C137" s="3" t="s">
        <v>35</v>
      </c>
      <c r="D137" s="3" t="s">
        <v>48</v>
      </c>
      <c r="E137" s="3" t="s">
        <v>30</v>
      </c>
      <c r="F137" s="3" t="s">
        <v>236</v>
      </c>
      <c r="G137" s="3">
        <v>2016</v>
      </c>
      <c r="H137" s="3" t="str">
        <f>CONCATENATE("64240725404")</f>
        <v>64240725404</v>
      </c>
      <c r="I137" s="3" t="s">
        <v>25</v>
      </c>
      <c r="J137" s="3" t="s">
        <v>26</v>
      </c>
      <c r="K137" s="3" t="str">
        <f t="shared" si="8"/>
        <v/>
      </c>
      <c r="L137" s="3" t="str">
        <f t="shared" si="7"/>
        <v>11 11.2 4b</v>
      </c>
      <c r="M137" s="3" t="str">
        <f>CONCATENATE("ZMPGNN58H64A329E")</f>
        <v>ZMPGNN58H64A329E</v>
      </c>
      <c r="N137" s="3" t="s">
        <v>237</v>
      </c>
      <c r="O137" s="3"/>
      <c r="P137" s="4">
        <v>42783</v>
      </c>
      <c r="Q137" s="3" t="s">
        <v>27</v>
      </c>
      <c r="R137" s="3" t="s">
        <v>28</v>
      </c>
      <c r="S137" s="3" t="s">
        <v>29</v>
      </c>
      <c r="T137" s="5">
        <v>1235.3599999999999</v>
      </c>
      <c r="U137" s="3">
        <v>532.69000000000005</v>
      </c>
      <c r="V137" s="3">
        <v>491.92</v>
      </c>
      <c r="W137" s="3">
        <v>210.75</v>
      </c>
    </row>
    <row r="138" spans="1:23" ht="36.75">
      <c r="A138" s="3" t="s">
        <v>23</v>
      </c>
      <c r="B138" s="3" t="s">
        <v>24</v>
      </c>
      <c r="C138" s="3" t="s">
        <v>35</v>
      </c>
      <c r="D138" s="3" t="s">
        <v>48</v>
      </c>
      <c r="E138" s="3" t="s">
        <v>49</v>
      </c>
      <c r="F138" s="3" t="s">
        <v>74</v>
      </c>
      <c r="G138" s="3">
        <v>2016</v>
      </c>
      <c r="H138" s="3" t="str">
        <f>CONCATENATE("64240446951")</f>
        <v>64240446951</v>
      </c>
      <c r="I138" s="3" t="s">
        <v>25</v>
      </c>
      <c r="J138" s="3" t="s">
        <v>26</v>
      </c>
      <c r="K138" s="3" t="str">
        <f t="shared" si="8"/>
        <v/>
      </c>
      <c r="L138" s="3" t="str">
        <f t="shared" si="7"/>
        <v>11 11.2 4b</v>
      </c>
      <c r="M138" s="3" t="str">
        <f>CONCATENATE("00734310436")</f>
        <v>00734310436</v>
      </c>
      <c r="N138" s="3" t="s">
        <v>238</v>
      </c>
      <c r="O138" s="3"/>
      <c r="P138" s="4">
        <v>42783</v>
      </c>
      <c r="Q138" s="3" t="s">
        <v>27</v>
      </c>
      <c r="R138" s="3" t="s">
        <v>28</v>
      </c>
      <c r="S138" s="3" t="s">
        <v>29</v>
      </c>
      <c r="T138" s="5">
        <v>5760.99</v>
      </c>
      <c r="U138" s="5">
        <v>2484.14</v>
      </c>
      <c r="V138" s="5">
        <v>2294.0300000000002</v>
      </c>
      <c r="W138" s="3">
        <v>982.82</v>
      </c>
    </row>
    <row r="139" spans="1:23" ht="60.75">
      <c r="A139" s="3" t="s">
        <v>23</v>
      </c>
      <c r="B139" s="3" t="s">
        <v>24</v>
      </c>
      <c r="C139" s="3" t="s">
        <v>35</v>
      </c>
      <c r="D139" s="3" t="s">
        <v>43</v>
      </c>
      <c r="E139" s="3" t="s">
        <v>30</v>
      </c>
      <c r="F139" s="3" t="s">
        <v>131</v>
      </c>
      <c r="G139" s="3">
        <v>2016</v>
      </c>
      <c r="H139" s="3" t="str">
        <f>CONCATENATE("64240465365")</f>
        <v>64240465365</v>
      </c>
      <c r="I139" s="3" t="s">
        <v>25</v>
      </c>
      <c r="J139" s="3" t="s">
        <v>26</v>
      </c>
      <c r="K139" s="3" t="str">
        <f t="shared" si="8"/>
        <v/>
      </c>
      <c r="L139" s="3" t="str">
        <f>CONCATENATE("11 11.1 4b")</f>
        <v>11 11.1 4b</v>
      </c>
      <c r="M139" s="3" t="str">
        <f>CONCATENATE("STLCMN43S24D749S")</f>
        <v>STLCMN43S24D749S</v>
      </c>
      <c r="N139" s="3" t="s">
        <v>239</v>
      </c>
      <c r="O139" s="3"/>
      <c r="P139" s="4">
        <v>42783</v>
      </c>
      <c r="Q139" s="3" t="s">
        <v>27</v>
      </c>
      <c r="R139" s="3" t="s">
        <v>28</v>
      </c>
      <c r="S139" s="3" t="s">
        <v>29</v>
      </c>
      <c r="T139" s="5">
        <v>1208.6199999999999</v>
      </c>
      <c r="U139" s="3">
        <v>521.16</v>
      </c>
      <c r="V139" s="3">
        <v>481.27</v>
      </c>
      <c r="W139" s="3">
        <v>206.19</v>
      </c>
    </row>
    <row r="140" spans="1:23" ht="60.75">
      <c r="A140" s="3" t="s">
        <v>23</v>
      </c>
      <c r="B140" s="3" t="s">
        <v>24</v>
      </c>
      <c r="C140" s="3" t="s">
        <v>35</v>
      </c>
      <c r="D140" s="3" t="s">
        <v>48</v>
      </c>
      <c r="E140" s="3" t="s">
        <v>59</v>
      </c>
      <c r="F140" s="3" t="s">
        <v>240</v>
      </c>
      <c r="G140" s="3">
        <v>2016</v>
      </c>
      <c r="H140" s="3" t="str">
        <f>CONCATENATE("64240521951")</f>
        <v>64240521951</v>
      </c>
      <c r="I140" s="3" t="s">
        <v>25</v>
      </c>
      <c r="J140" s="3" t="s">
        <v>26</v>
      </c>
      <c r="K140" s="3" t="str">
        <f t="shared" si="8"/>
        <v/>
      </c>
      <c r="L140" s="3" t="str">
        <f>CONCATENATE("11 11.2 4b")</f>
        <v>11 11.2 4b</v>
      </c>
      <c r="M140" s="3" t="str">
        <f>CONCATENATE("MRTGRG55B04E783C")</f>
        <v>MRTGRG55B04E783C</v>
      </c>
      <c r="N140" s="3" t="s">
        <v>241</v>
      </c>
      <c r="O140" s="3"/>
      <c r="P140" s="4">
        <v>42783</v>
      </c>
      <c r="Q140" s="3" t="s">
        <v>27</v>
      </c>
      <c r="R140" s="3" t="s">
        <v>28</v>
      </c>
      <c r="S140" s="3" t="s">
        <v>29</v>
      </c>
      <c r="T140" s="5">
        <v>6242.81</v>
      </c>
      <c r="U140" s="5">
        <v>2691.9</v>
      </c>
      <c r="V140" s="5">
        <v>2485.89</v>
      </c>
      <c r="W140" s="5">
        <v>1065.02</v>
      </c>
    </row>
    <row r="141" spans="1:23" ht="60.75">
      <c r="A141" s="3" t="s">
        <v>23</v>
      </c>
      <c r="B141" s="3" t="s">
        <v>24</v>
      </c>
      <c r="C141" s="3" t="s">
        <v>35</v>
      </c>
      <c r="D141" s="3" t="s">
        <v>48</v>
      </c>
      <c r="E141" s="3" t="s">
        <v>34</v>
      </c>
      <c r="F141" s="3" t="s">
        <v>141</v>
      </c>
      <c r="G141" s="3">
        <v>2016</v>
      </c>
      <c r="H141" s="3" t="str">
        <f>CONCATENATE("64240736880")</f>
        <v>64240736880</v>
      </c>
      <c r="I141" s="3" t="s">
        <v>25</v>
      </c>
      <c r="J141" s="3" t="s">
        <v>26</v>
      </c>
      <c r="K141" s="3" t="str">
        <f t="shared" si="8"/>
        <v/>
      </c>
      <c r="L141" s="3" t="str">
        <f>CONCATENATE("11 11.2 4b")</f>
        <v>11 11.2 4b</v>
      </c>
      <c r="M141" s="3" t="str">
        <f>CONCATENATE("MRCMHL81D46E783G")</f>
        <v>MRCMHL81D46E783G</v>
      </c>
      <c r="N141" s="3" t="s">
        <v>242</v>
      </c>
      <c r="O141" s="3"/>
      <c r="P141" s="4">
        <v>42783</v>
      </c>
      <c r="Q141" s="3" t="s">
        <v>27</v>
      </c>
      <c r="R141" s="3" t="s">
        <v>28</v>
      </c>
      <c r="S141" s="3" t="s">
        <v>29</v>
      </c>
      <c r="T141" s="5">
        <v>2719.34</v>
      </c>
      <c r="U141" s="5">
        <v>1172.58</v>
      </c>
      <c r="V141" s="5">
        <v>1082.8399999999999</v>
      </c>
      <c r="W141" s="3">
        <v>463.92</v>
      </c>
    </row>
    <row r="142" spans="1:23" ht="60.75">
      <c r="A142" s="3" t="s">
        <v>23</v>
      </c>
      <c r="B142" s="3" t="s">
        <v>24</v>
      </c>
      <c r="C142" s="3" t="s">
        <v>35</v>
      </c>
      <c r="D142" s="3" t="s">
        <v>39</v>
      </c>
      <c r="E142" s="3" t="s">
        <v>32</v>
      </c>
      <c r="F142" s="3" t="s">
        <v>215</v>
      </c>
      <c r="G142" s="3">
        <v>2016</v>
      </c>
      <c r="H142" s="3" t="str">
        <f>CONCATENATE("64240350856")</f>
        <v>64240350856</v>
      </c>
      <c r="I142" s="3" t="s">
        <v>25</v>
      </c>
      <c r="J142" s="3" t="s">
        <v>26</v>
      </c>
      <c r="K142" s="3" t="str">
        <f t="shared" si="8"/>
        <v/>
      </c>
      <c r="L142" s="3" t="str">
        <f>CONCATENATE("10 10.1 4a")</f>
        <v>10 10.1 4a</v>
      </c>
      <c r="M142" s="3" t="str">
        <f>CONCATENATE("CLMGRG83T18E388S")</f>
        <v>CLMGRG83T18E388S</v>
      </c>
      <c r="N142" s="3" t="s">
        <v>243</v>
      </c>
      <c r="O142" s="3"/>
      <c r="P142" s="4">
        <v>42783</v>
      </c>
      <c r="Q142" s="3" t="s">
        <v>27</v>
      </c>
      <c r="R142" s="3" t="s">
        <v>28</v>
      </c>
      <c r="S142" s="3" t="s">
        <v>29</v>
      </c>
      <c r="T142" s="3">
        <v>54.97</v>
      </c>
      <c r="U142" s="3">
        <v>23.7</v>
      </c>
      <c r="V142" s="3">
        <v>21.89</v>
      </c>
      <c r="W142" s="3">
        <v>9.3800000000000008</v>
      </c>
    </row>
    <row r="143" spans="1:23" ht="36.75">
      <c r="A143" s="3" t="s">
        <v>23</v>
      </c>
      <c r="B143" s="3" t="s">
        <v>24</v>
      </c>
      <c r="C143" s="3" t="s">
        <v>35</v>
      </c>
      <c r="D143" s="3" t="s">
        <v>39</v>
      </c>
      <c r="E143" s="3" t="s">
        <v>34</v>
      </c>
      <c r="F143" s="3" t="s">
        <v>170</v>
      </c>
      <c r="G143" s="3">
        <v>2016</v>
      </c>
      <c r="H143" s="3" t="str">
        <f>CONCATENATE("64240669818")</f>
        <v>64240669818</v>
      </c>
      <c r="I143" s="3" t="s">
        <v>25</v>
      </c>
      <c r="J143" s="3" t="s">
        <v>26</v>
      </c>
      <c r="K143" s="3" t="str">
        <f t="shared" si="8"/>
        <v/>
      </c>
      <c r="L143" s="3" t="str">
        <f>CONCATENATE("11 11.2 4b")</f>
        <v>11 11.2 4b</v>
      </c>
      <c r="M143" s="3" t="str">
        <f>CONCATENATE("04528030630")</f>
        <v>04528030630</v>
      </c>
      <c r="N143" s="3" t="s">
        <v>244</v>
      </c>
      <c r="O143" s="3"/>
      <c r="P143" s="4">
        <v>42783</v>
      </c>
      <c r="Q143" s="3" t="s">
        <v>27</v>
      </c>
      <c r="R143" s="3" t="s">
        <v>28</v>
      </c>
      <c r="S143" s="3" t="s">
        <v>29</v>
      </c>
      <c r="T143" s="5">
        <v>6575.33</v>
      </c>
      <c r="U143" s="5">
        <v>2835.28</v>
      </c>
      <c r="V143" s="5">
        <v>2618.3000000000002</v>
      </c>
      <c r="W143" s="5">
        <v>1121.75</v>
      </c>
    </row>
    <row r="144" spans="1:23" ht="60.75">
      <c r="A144" s="3" t="s">
        <v>23</v>
      </c>
      <c r="B144" s="3" t="s">
        <v>24</v>
      </c>
      <c r="C144" s="3" t="s">
        <v>35</v>
      </c>
      <c r="D144" s="3" t="s">
        <v>36</v>
      </c>
      <c r="E144" s="3" t="s">
        <v>32</v>
      </c>
      <c r="F144" s="3" t="s">
        <v>65</v>
      </c>
      <c r="G144" s="3">
        <v>2016</v>
      </c>
      <c r="H144" s="3" t="str">
        <f>CONCATENATE("64240900106")</f>
        <v>64240900106</v>
      </c>
      <c r="I144" s="3" t="s">
        <v>25</v>
      </c>
      <c r="J144" s="3" t="s">
        <v>26</v>
      </c>
      <c r="K144" s="3" t="str">
        <f t="shared" si="8"/>
        <v/>
      </c>
      <c r="L144" s="3" t="str">
        <f>CONCATENATE("11 11.2 4b")</f>
        <v>11 11.2 4b</v>
      </c>
      <c r="M144" s="3" t="str">
        <f>CONCATENATE("VRGGLN70C01G005D")</f>
        <v>VRGGLN70C01G005D</v>
      </c>
      <c r="N144" s="3" t="s">
        <v>245</v>
      </c>
      <c r="O144" s="3"/>
      <c r="P144" s="4">
        <v>42783</v>
      </c>
      <c r="Q144" s="3" t="s">
        <v>27</v>
      </c>
      <c r="R144" s="3" t="s">
        <v>28</v>
      </c>
      <c r="S144" s="3" t="s">
        <v>29</v>
      </c>
      <c r="T144" s="5">
        <v>12027.72</v>
      </c>
      <c r="U144" s="5">
        <v>5186.3500000000004</v>
      </c>
      <c r="V144" s="5">
        <v>4789.4399999999996</v>
      </c>
      <c r="W144" s="5">
        <v>2051.9299999999998</v>
      </c>
    </row>
    <row r="145" spans="1:23" ht="36.75">
      <c r="A145" s="3" t="s">
        <v>23</v>
      </c>
      <c r="B145" s="3" t="s">
        <v>24</v>
      </c>
      <c r="C145" s="3" t="s">
        <v>35</v>
      </c>
      <c r="D145" s="3" t="s">
        <v>43</v>
      </c>
      <c r="E145" s="3" t="s">
        <v>49</v>
      </c>
      <c r="F145" s="3" t="s">
        <v>139</v>
      </c>
      <c r="G145" s="3">
        <v>2016</v>
      </c>
      <c r="H145" s="3" t="str">
        <f>CONCATENATE("64240324638")</f>
        <v>64240324638</v>
      </c>
      <c r="I145" s="3" t="s">
        <v>25</v>
      </c>
      <c r="J145" s="3" t="s">
        <v>26</v>
      </c>
      <c r="K145" s="3" t="str">
        <f t="shared" si="8"/>
        <v/>
      </c>
      <c r="L145" s="3" t="str">
        <f>CONCATENATE("11 11.2 4b")</f>
        <v>11 11.2 4b</v>
      </c>
      <c r="M145" s="3" t="str">
        <f>CONCATENATE("02383080419")</f>
        <v>02383080419</v>
      </c>
      <c r="N145" s="3" t="s">
        <v>246</v>
      </c>
      <c r="O145" s="3"/>
      <c r="P145" s="4">
        <v>42783</v>
      </c>
      <c r="Q145" s="3" t="s">
        <v>27</v>
      </c>
      <c r="R145" s="3" t="s">
        <v>28</v>
      </c>
      <c r="S145" s="3" t="s">
        <v>29</v>
      </c>
      <c r="T145" s="3">
        <v>788.89</v>
      </c>
      <c r="U145" s="3">
        <v>340.17</v>
      </c>
      <c r="V145" s="3">
        <v>314.14</v>
      </c>
      <c r="W145" s="3">
        <v>134.58000000000001</v>
      </c>
    </row>
    <row r="146" spans="1:23" ht="72.75">
      <c r="A146" s="3" t="s">
        <v>23</v>
      </c>
      <c r="B146" s="3" t="s">
        <v>24</v>
      </c>
      <c r="C146" s="3" t="s">
        <v>35</v>
      </c>
      <c r="D146" s="3" t="s">
        <v>43</v>
      </c>
      <c r="E146" s="3" t="s">
        <v>34</v>
      </c>
      <c r="F146" s="3" t="s">
        <v>146</v>
      </c>
      <c r="G146" s="3">
        <v>2016</v>
      </c>
      <c r="H146" s="3" t="str">
        <f>CONCATENATE("64240090742")</f>
        <v>64240090742</v>
      </c>
      <c r="I146" s="3" t="s">
        <v>25</v>
      </c>
      <c r="J146" s="3" t="s">
        <v>26</v>
      </c>
      <c r="K146" s="3" t="str">
        <f t="shared" si="8"/>
        <v/>
      </c>
      <c r="L146" s="3" t="str">
        <f>CONCATENATE("11 11.2 4b")</f>
        <v>11 11.2 4b</v>
      </c>
      <c r="M146" s="3" t="str">
        <f>CONCATENATE("BLBMRN55S57G479J")</f>
        <v>BLBMRN55S57G479J</v>
      </c>
      <c r="N146" s="3" t="s">
        <v>247</v>
      </c>
      <c r="O146" s="3"/>
      <c r="P146" s="4">
        <v>42783</v>
      </c>
      <c r="Q146" s="3" t="s">
        <v>27</v>
      </c>
      <c r="R146" s="3" t="s">
        <v>28</v>
      </c>
      <c r="S146" s="3" t="s">
        <v>29</v>
      </c>
      <c r="T146" s="3">
        <v>300.27</v>
      </c>
      <c r="U146" s="3">
        <v>129.47999999999999</v>
      </c>
      <c r="V146" s="3">
        <v>119.57</v>
      </c>
      <c r="W146" s="3">
        <v>51.22</v>
      </c>
    </row>
    <row r="147" spans="1:23" ht="60.75">
      <c r="A147" s="3" t="s">
        <v>23</v>
      </c>
      <c r="B147" s="3" t="s">
        <v>24</v>
      </c>
      <c r="C147" s="3" t="s">
        <v>35</v>
      </c>
      <c r="D147" s="3" t="s">
        <v>48</v>
      </c>
      <c r="E147" s="3" t="s">
        <v>34</v>
      </c>
      <c r="F147" s="3" t="s">
        <v>141</v>
      </c>
      <c r="G147" s="3">
        <v>2016</v>
      </c>
      <c r="H147" s="3" t="str">
        <f>CONCATENATE("64240760302")</f>
        <v>64240760302</v>
      </c>
      <c r="I147" s="3" t="s">
        <v>31</v>
      </c>
      <c r="J147" s="3" t="s">
        <v>26</v>
      </c>
      <c r="K147" s="3" t="str">
        <f t="shared" si="8"/>
        <v/>
      </c>
      <c r="L147" s="3" t="str">
        <f>CONCATENATE("11 11.1 4b")</f>
        <v>11 11.1 4b</v>
      </c>
      <c r="M147" s="3" t="str">
        <f>CONCATENATE("TRVCHR98B43I156P")</f>
        <v>TRVCHR98B43I156P</v>
      </c>
      <c r="N147" s="3" t="s">
        <v>248</v>
      </c>
      <c r="O147" s="3"/>
      <c r="P147" s="4">
        <v>42783</v>
      </c>
      <c r="Q147" s="3" t="s">
        <v>27</v>
      </c>
      <c r="R147" s="3" t="s">
        <v>28</v>
      </c>
      <c r="S147" s="3" t="s">
        <v>29</v>
      </c>
      <c r="T147" s="3">
        <v>634.52</v>
      </c>
      <c r="U147" s="3">
        <v>273.61</v>
      </c>
      <c r="V147" s="3">
        <v>252.67</v>
      </c>
      <c r="W147" s="3">
        <v>108.24</v>
      </c>
    </row>
    <row r="148" spans="1:23" ht="60.75">
      <c r="A148" s="3" t="s">
        <v>23</v>
      </c>
      <c r="B148" s="3" t="s">
        <v>24</v>
      </c>
      <c r="C148" s="3" t="s">
        <v>35</v>
      </c>
      <c r="D148" s="3" t="s">
        <v>36</v>
      </c>
      <c r="E148" s="3" t="s">
        <v>30</v>
      </c>
      <c r="F148" s="3" t="s">
        <v>53</v>
      </c>
      <c r="G148" s="3">
        <v>2016</v>
      </c>
      <c r="H148" s="3" t="str">
        <f>CONCATENATE("64240703831")</f>
        <v>64240703831</v>
      </c>
      <c r="I148" s="3" t="s">
        <v>25</v>
      </c>
      <c r="J148" s="3" t="s">
        <v>26</v>
      </c>
      <c r="K148" s="3" t="str">
        <f t="shared" si="8"/>
        <v/>
      </c>
      <c r="L148" s="3" t="str">
        <f>CONCATENATE("11 11.1 4b")</f>
        <v>11 11.1 4b</v>
      </c>
      <c r="M148" s="3" t="str">
        <f>CONCATENATE("CNCGLN51B64C901U")</f>
        <v>CNCGLN51B64C901U</v>
      </c>
      <c r="N148" s="3" t="s">
        <v>249</v>
      </c>
      <c r="O148" s="3"/>
      <c r="P148" s="4">
        <v>42783</v>
      </c>
      <c r="Q148" s="3" t="s">
        <v>27</v>
      </c>
      <c r="R148" s="3" t="s">
        <v>28</v>
      </c>
      <c r="S148" s="3" t="s">
        <v>29</v>
      </c>
      <c r="T148" s="5">
        <v>1126.76</v>
      </c>
      <c r="U148" s="3">
        <v>485.86</v>
      </c>
      <c r="V148" s="3">
        <v>448.68</v>
      </c>
      <c r="W148" s="3">
        <v>192.22</v>
      </c>
    </row>
    <row r="149" spans="1:23" ht="60.75">
      <c r="A149" s="3" t="s">
        <v>23</v>
      </c>
      <c r="B149" s="3" t="s">
        <v>24</v>
      </c>
      <c r="C149" s="3" t="s">
        <v>35</v>
      </c>
      <c r="D149" s="3" t="s">
        <v>48</v>
      </c>
      <c r="E149" s="3" t="s">
        <v>30</v>
      </c>
      <c r="F149" s="3" t="s">
        <v>91</v>
      </c>
      <c r="G149" s="3">
        <v>2016</v>
      </c>
      <c r="H149" s="3" t="str">
        <f>CONCATENATE("64240316600")</f>
        <v>64240316600</v>
      </c>
      <c r="I149" s="3" t="s">
        <v>25</v>
      </c>
      <c r="J149" s="3" t="s">
        <v>26</v>
      </c>
      <c r="K149" s="3" t="str">
        <f t="shared" si="8"/>
        <v/>
      </c>
      <c r="L149" s="3" t="str">
        <f>CONCATENATE("11 11.1 4b")</f>
        <v>11 11.1 4b</v>
      </c>
      <c r="M149" s="3" t="str">
        <f>CONCATENATE("GBNJTH94D06B474J")</f>
        <v>GBNJTH94D06B474J</v>
      </c>
      <c r="N149" s="3" t="s">
        <v>250</v>
      </c>
      <c r="O149" s="3"/>
      <c r="P149" s="4">
        <v>42783</v>
      </c>
      <c r="Q149" s="3" t="s">
        <v>27</v>
      </c>
      <c r="R149" s="3" t="s">
        <v>28</v>
      </c>
      <c r="S149" s="3" t="s">
        <v>29</v>
      </c>
      <c r="T149" s="5">
        <v>3854.66</v>
      </c>
      <c r="U149" s="5">
        <v>1662.13</v>
      </c>
      <c r="V149" s="5">
        <v>1534.93</v>
      </c>
      <c r="W149" s="3">
        <v>657.6</v>
      </c>
    </row>
    <row r="150" spans="1:23" ht="60.75">
      <c r="A150" s="3" t="s">
        <v>23</v>
      </c>
      <c r="B150" s="3" t="s">
        <v>24</v>
      </c>
      <c r="C150" s="3" t="s">
        <v>35</v>
      </c>
      <c r="D150" s="3" t="s">
        <v>36</v>
      </c>
      <c r="E150" s="3" t="s">
        <v>33</v>
      </c>
      <c r="F150" s="3" t="s">
        <v>192</v>
      </c>
      <c r="G150" s="3">
        <v>2016</v>
      </c>
      <c r="H150" s="3" t="str">
        <f>CONCATENATE("64240300778")</f>
        <v>64240300778</v>
      </c>
      <c r="I150" s="3" t="s">
        <v>25</v>
      </c>
      <c r="J150" s="3" t="s">
        <v>26</v>
      </c>
      <c r="K150" s="3" t="str">
        <f t="shared" si="8"/>
        <v/>
      </c>
      <c r="L150" s="3" t="str">
        <f>CONCATENATE("11 11.1 4b")</f>
        <v>11 11.1 4b</v>
      </c>
      <c r="M150" s="3" t="str">
        <f>CONCATENATE("MRZDDE88E08I348J")</f>
        <v>MRZDDE88E08I348J</v>
      </c>
      <c r="N150" s="3" t="s">
        <v>251</v>
      </c>
      <c r="O150" s="3"/>
      <c r="P150" s="4">
        <v>42783</v>
      </c>
      <c r="Q150" s="3" t="s">
        <v>27</v>
      </c>
      <c r="R150" s="3" t="s">
        <v>28</v>
      </c>
      <c r="S150" s="3" t="s">
        <v>29</v>
      </c>
      <c r="T150" s="5">
        <v>5145.53</v>
      </c>
      <c r="U150" s="5">
        <v>2218.75</v>
      </c>
      <c r="V150" s="5">
        <v>2048.9499999999998</v>
      </c>
      <c r="W150" s="3">
        <v>877.83</v>
      </c>
    </row>
    <row r="151" spans="1:23" ht="60.75">
      <c r="A151" s="3" t="s">
        <v>23</v>
      </c>
      <c r="B151" s="3" t="s">
        <v>24</v>
      </c>
      <c r="C151" s="3" t="s">
        <v>35</v>
      </c>
      <c r="D151" s="3" t="s">
        <v>36</v>
      </c>
      <c r="E151" s="3" t="s">
        <v>33</v>
      </c>
      <c r="F151" s="3" t="s">
        <v>192</v>
      </c>
      <c r="G151" s="3">
        <v>2016</v>
      </c>
      <c r="H151" s="3" t="str">
        <f>CONCATENATE("64240510079")</f>
        <v>64240510079</v>
      </c>
      <c r="I151" s="3" t="s">
        <v>25</v>
      </c>
      <c r="J151" s="3" t="s">
        <v>26</v>
      </c>
      <c r="K151" s="3" t="str">
        <f t="shared" si="8"/>
        <v/>
      </c>
      <c r="L151" s="3" t="str">
        <f>CONCATENATE("11 11.2 4b")</f>
        <v>11 11.2 4b</v>
      </c>
      <c r="M151" s="3" t="str">
        <f>CONCATENATE("CCCPRZ62L12G005D")</f>
        <v>CCCPRZ62L12G005D</v>
      </c>
      <c r="N151" s="3" t="s">
        <v>252</v>
      </c>
      <c r="O151" s="3"/>
      <c r="P151" s="4">
        <v>42783</v>
      </c>
      <c r="Q151" s="3" t="s">
        <v>27</v>
      </c>
      <c r="R151" s="3" t="s">
        <v>28</v>
      </c>
      <c r="S151" s="3" t="s">
        <v>29</v>
      </c>
      <c r="T151" s="5">
        <v>3931.74</v>
      </c>
      <c r="U151" s="5">
        <v>1695.37</v>
      </c>
      <c r="V151" s="5">
        <v>1565.62</v>
      </c>
      <c r="W151" s="3">
        <v>670.75</v>
      </c>
    </row>
    <row r="152" spans="1:23" ht="60.75">
      <c r="A152" s="3" t="s">
        <v>23</v>
      </c>
      <c r="B152" s="3" t="s">
        <v>24</v>
      </c>
      <c r="C152" s="3" t="s">
        <v>35</v>
      </c>
      <c r="D152" s="3" t="s">
        <v>43</v>
      </c>
      <c r="E152" s="3" t="s">
        <v>30</v>
      </c>
      <c r="F152" s="3" t="s">
        <v>131</v>
      </c>
      <c r="G152" s="3">
        <v>2016</v>
      </c>
      <c r="H152" s="3" t="str">
        <f>CONCATENATE("64240713475")</f>
        <v>64240713475</v>
      </c>
      <c r="I152" s="3" t="s">
        <v>25</v>
      </c>
      <c r="J152" s="3" t="s">
        <v>26</v>
      </c>
      <c r="K152" s="3" t="str">
        <f t="shared" si="8"/>
        <v/>
      </c>
      <c r="L152" s="3" t="str">
        <f>CONCATENATE("11 11.2 4b")</f>
        <v>11 11.2 4b</v>
      </c>
      <c r="M152" s="3" t="str">
        <f>CONCATENATE("RMTGNN74D27D749J")</f>
        <v>RMTGNN74D27D749J</v>
      </c>
      <c r="N152" s="3" t="s">
        <v>253</v>
      </c>
      <c r="O152" s="3"/>
      <c r="P152" s="4">
        <v>42783</v>
      </c>
      <c r="Q152" s="3" t="s">
        <v>27</v>
      </c>
      <c r="R152" s="3" t="s">
        <v>28</v>
      </c>
      <c r="S152" s="3" t="s">
        <v>29</v>
      </c>
      <c r="T152" s="5">
        <v>14162.17</v>
      </c>
      <c r="U152" s="5">
        <v>6106.73</v>
      </c>
      <c r="V152" s="5">
        <v>5639.38</v>
      </c>
      <c r="W152" s="5">
        <v>2416.06</v>
      </c>
    </row>
    <row r="153" spans="1:23" ht="60.75">
      <c r="A153" s="3" t="s">
        <v>23</v>
      </c>
      <c r="B153" s="3" t="s">
        <v>24</v>
      </c>
      <c r="C153" s="3" t="s">
        <v>35</v>
      </c>
      <c r="D153" s="3" t="s">
        <v>39</v>
      </c>
      <c r="E153" s="3" t="s">
        <v>32</v>
      </c>
      <c r="F153" s="3" t="s">
        <v>215</v>
      </c>
      <c r="G153" s="3">
        <v>2016</v>
      </c>
      <c r="H153" s="3" t="str">
        <f>CONCATENATE("64240215653")</f>
        <v>64240215653</v>
      </c>
      <c r="I153" s="3" t="s">
        <v>25</v>
      </c>
      <c r="J153" s="3" t="s">
        <v>26</v>
      </c>
      <c r="K153" s="3" t="str">
        <f t="shared" si="8"/>
        <v/>
      </c>
      <c r="L153" s="3" t="str">
        <f>CONCATENATE("11 11.2 4b")</f>
        <v>11 11.2 4b</v>
      </c>
      <c r="M153" s="3" t="str">
        <f>CONCATENATE("MCALCU72R66E388N")</f>
        <v>MCALCU72R66E388N</v>
      </c>
      <c r="N153" s="3" t="s">
        <v>254</v>
      </c>
      <c r="O153" s="3"/>
      <c r="P153" s="4">
        <v>42783</v>
      </c>
      <c r="Q153" s="3" t="s">
        <v>27</v>
      </c>
      <c r="R153" s="3" t="s">
        <v>28</v>
      </c>
      <c r="S153" s="3" t="s">
        <v>29</v>
      </c>
      <c r="T153" s="5">
        <v>2686.4</v>
      </c>
      <c r="U153" s="5">
        <v>1158.3800000000001</v>
      </c>
      <c r="V153" s="5">
        <v>1069.72</v>
      </c>
      <c r="W153" s="3">
        <v>458.3</v>
      </c>
    </row>
    <row r="154" spans="1:23" ht="60.75">
      <c r="A154" s="3" t="s">
        <v>23</v>
      </c>
      <c r="B154" s="3" t="s">
        <v>24</v>
      </c>
      <c r="C154" s="3" t="s">
        <v>35</v>
      </c>
      <c r="D154" s="3" t="s">
        <v>36</v>
      </c>
      <c r="E154" s="3" t="s">
        <v>30</v>
      </c>
      <c r="F154" s="3" t="s">
        <v>37</v>
      </c>
      <c r="G154" s="3">
        <v>2016</v>
      </c>
      <c r="H154" s="3" t="str">
        <f>CONCATENATE("64240243150")</f>
        <v>64240243150</v>
      </c>
      <c r="I154" s="3" t="s">
        <v>25</v>
      </c>
      <c r="J154" s="3" t="s">
        <v>26</v>
      </c>
      <c r="K154" s="3" t="str">
        <f t="shared" si="8"/>
        <v/>
      </c>
      <c r="L154" s="3" t="str">
        <f>CONCATENATE("11 11.1 4b")</f>
        <v>11 11.1 4b</v>
      </c>
      <c r="M154" s="3" t="str">
        <f>CONCATENATE("MNNGPP68E22H769J")</f>
        <v>MNNGPP68E22H769J</v>
      </c>
      <c r="N154" s="3" t="s">
        <v>255</v>
      </c>
      <c r="O154" s="3"/>
      <c r="P154" s="4">
        <v>42783</v>
      </c>
      <c r="Q154" s="3" t="s">
        <v>27</v>
      </c>
      <c r="R154" s="3" t="s">
        <v>28</v>
      </c>
      <c r="S154" s="3" t="s">
        <v>29</v>
      </c>
      <c r="T154" s="5">
        <v>2693.16</v>
      </c>
      <c r="U154" s="5">
        <v>1161.29</v>
      </c>
      <c r="V154" s="5">
        <v>1072.42</v>
      </c>
      <c r="W154" s="3">
        <v>459.45</v>
      </c>
    </row>
    <row r="155" spans="1:23" ht="60.75">
      <c r="A155" s="3" t="s">
        <v>23</v>
      </c>
      <c r="B155" s="3" t="s">
        <v>24</v>
      </c>
      <c r="C155" s="3" t="s">
        <v>35</v>
      </c>
      <c r="D155" s="3" t="s">
        <v>36</v>
      </c>
      <c r="E155" s="3" t="s">
        <v>33</v>
      </c>
      <c r="F155" s="3" t="s">
        <v>95</v>
      </c>
      <c r="G155" s="3">
        <v>2016</v>
      </c>
      <c r="H155" s="3" t="str">
        <f>CONCATENATE("64240429015")</f>
        <v>64240429015</v>
      </c>
      <c r="I155" s="3" t="s">
        <v>25</v>
      </c>
      <c r="J155" s="3" t="s">
        <v>26</v>
      </c>
      <c r="K155" s="3" t="str">
        <f t="shared" si="8"/>
        <v/>
      </c>
      <c r="L155" s="3" t="str">
        <f>CONCATENATE("11 11.2 4b")</f>
        <v>11 11.2 4b</v>
      </c>
      <c r="M155" s="3" t="str">
        <f>CONCATENATE("MBRRLL51P51D542C")</f>
        <v>MBRRLL51P51D542C</v>
      </c>
      <c r="N155" s="3" t="s">
        <v>256</v>
      </c>
      <c r="O155" s="3"/>
      <c r="P155" s="4">
        <v>42783</v>
      </c>
      <c r="Q155" s="3" t="s">
        <v>27</v>
      </c>
      <c r="R155" s="3" t="s">
        <v>28</v>
      </c>
      <c r="S155" s="3" t="s">
        <v>29</v>
      </c>
      <c r="T155" s="5">
        <v>1680.48</v>
      </c>
      <c r="U155" s="3">
        <v>724.62</v>
      </c>
      <c r="V155" s="3">
        <v>669.17</v>
      </c>
      <c r="W155" s="3">
        <v>286.69</v>
      </c>
    </row>
    <row r="156" spans="1:23" ht="36.75">
      <c r="A156" s="3" t="s">
        <v>23</v>
      </c>
      <c r="B156" s="3" t="s">
        <v>24</v>
      </c>
      <c r="C156" s="3" t="s">
        <v>35</v>
      </c>
      <c r="D156" s="3" t="s">
        <v>36</v>
      </c>
      <c r="E156" s="3" t="s">
        <v>30</v>
      </c>
      <c r="F156" s="3" t="s">
        <v>257</v>
      </c>
      <c r="G156" s="3">
        <v>2016</v>
      </c>
      <c r="H156" s="3" t="str">
        <f>CONCATENATE("64240488250")</f>
        <v>64240488250</v>
      </c>
      <c r="I156" s="3" t="s">
        <v>25</v>
      </c>
      <c r="J156" s="3" t="s">
        <v>26</v>
      </c>
      <c r="K156" s="3" t="str">
        <f t="shared" si="8"/>
        <v/>
      </c>
      <c r="L156" s="3" t="str">
        <f>CONCATENATE("11 11.2 4b")</f>
        <v>11 11.2 4b</v>
      </c>
      <c r="M156" s="3" t="str">
        <f>CONCATENATE("01614520441")</f>
        <v>01614520441</v>
      </c>
      <c r="N156" s="3" t="s">
        <v>258</v>
      </c>
      <c r="O156" s="3"/>
      <c r="P156" s="4">
        <v>42783</v>
      </c>
      <c r="Q156" s="3" t="s">
        <v>27</v>
      </c>
      <c r="R156" s="3" t="s">
        <v>28</v>
      </c>
      <c r="S156" s="3" t="s">
        <v>29</v>
      </c>
      <c r="T156" s="5">
        <v>2682.13</v>
      </c>
      <c r="U156" s="5">
        <v>1156.53</v>
      </c>
      <c r="V156" s="5">
        <v>1068.02</v>
      </c>
      <c r="W156" s="3">
        <v>457.58</v>
      </c>
    </row>
    <row r="157" spans="1:23" ht="36.75">
      <c r="A157" s="3" t="s">
        <v>23</v>
      </c>
      <c r="B157" s="3" t="s">
        <v>24</v>
      </c>
      <c r="C157" s="3" t="s">
        <v>35</v>
      </c>
      <c r="D157" s="3" t="s">
        <v>48</v>
      </c>
      <c r="E157" s="3" t="s">
        <v>30</v>
      </c>
      <c r="F157" s="3" t="s">
        <v>157</v>
      </c>
      <c r="G157" s="3">
        <v>2016</v>
      </c>
      <c r="H157" s="3" t="str">
        <f>CONCATENATE("64240725842")</f>
        <v>64240725842</v>
      </c>
      <c r="I157" s="3" t="s">
        <v>25</v>
      </c>
      <c r="J157" s="3" t="s">
        <v>26</v>
      </c>
      <c r="K157" s="3" t="str">
        <f t="shared" si="8"/>
        <v/>
      </c>
      <c r="L157" s="3" t="str">
        <f>CONCATENATE("11 11.2 4b")</f>
        <v>11 11.2 4b</v>
      </c>
      <c r="M157" s="3" t="str">
        <f>CONCATENATE("01674000433")</f>
        <v>01674000433</v>
      </c>
      <c r="N157" s="3" t="s">
        <v>259</v>
      </c>
      <c r="O157" s="3"/>
      <c r="P157" s="4">
        <v>42783</v>
      </c>
      <c r="Q157" s="3" t="s">
        <v>27</v>
      </c>
      <c r="R157" s="3" t="s">
        <v>28</v>
      </c>
      <c r="S157" s="3" t="s">
        <v>29</v>
      </c>
      <c r="T157" s="5">
        <v>14568.54</v>
      </c>
      <c r="U157" s="5">
        <v>6281.95</v>
      </c>
      <c r="V157" s="5">
        <v>5801.19</v>
      </c>
      <c r="W157" s="5">
        <v>2485.4</v>
      </c>
    </row>
    <row r="158" spans="1:23" ht="60.75">
      <c r="A158" s="3" t="s">
        <v>23</v>
      </c>
      <c r="B158" s="3" t="s">
        <v>24</v>
      </c>
      <c r="C158" s="3" t="s">
        <v>35</v>
      </c>
      <c r="D158" s="3" t="s">
        <v>36</v>
      </c>
      <c r="E158" s="3" t="s">
        <v>59</v>
      </c>
      <c r="F158" s="3" t="s">
        <v>62</v>
      </c>
      <c r="G158" s="3">
        <v>2016</v>
      </c>
      <c r="H158" s="3" t="str">
        <f>CONCATENATE("64240363800")</f>
        <v>64240363800</v>
      </c>
      <c r="I158" s="3" t="s">
        <v>25</v>
      </c>
      <c r="J158" s="3" t="s">
        <v>26</v>
      </c>
      <c r="K158" s="3" t="str">
        <f t="shared" si="8"/>
        <v/>
      </c>
      <c r="L158" s="3" t="str">
        <f>CONCATENATE("11 11.2 4b")</f>
        <v>11 11.2 4b</v>
      </c>
      <c r="M158" s="3" t="str">
        <f>CONCATENATE("KRNJNN73H60Z126L")</f>
        <v>KRNJNN73H60Z126L</v>
      </c>
      <c r="N158" s="3" t="s">
        <v>260</v>
      </c>
      <c r="O158" s="3"/>
      <c r="P158" s="4">
        <v>42783</v>
      </c>
      <c r="Q158" s="3" t="s">
        <v>27</v>
      </c>
      <c r="R158" s="3" t="s">
        <v>28</v>
      </c>
      <c r="S158" s="3" t="s">
        <v>29</v>
      </c>
      <c r="T158" s="3">
        <v>611.86</v>
      </c>
      <c r="U158" s="3">
        <v>263.83</v>
      </c>
      <c r="V158" s="3">
        <v>243.64</v>
      </c>
      <c r="W158" s="3">
        <v>104.39</v>
      </c>
    </row>
    <row r="159" spans="1:23" ht="60.75">
      <c r="A159" s="3" t="s">
        <v>23</v>
      </c>
      <c r="B159" s="3" t="s">
        <v>24</v>
      </c>
      <c r="C159" s="3" t="s">
        <v>35</v>
      </c>
      <c r="D159" s="3" t="s">
        <v>36</v>
      </c>
      <c r="E159" s="3" t="s">
        <v>30</v>
      </c>
      <c r="F159" s="3" t="s">
        <v>257</v>
      </c>
      <c r="G159" s="3">
        <v>2016</v>
      </c>
      <c r="H159" s="3" t="str">
        <f>CONCATENATE("64240514436")</f>
        <v>64240514436</v>
      </c>
      <c r="I159" s="3" t="s">
        <v>25</v>
      </c>
      <c r="J159" s="3" t="s">
        <v>26</v>
      </c>
      <c r="K159" s="3" t="str">
        <f t="shared" si="8"/>
        <v/>
      </c>
      <c r="L159" s="3" t="str">
        <f>CONCATENATE("11 11.2 4b")</f>
        <v>11 11.2 4b</v>
      </c>
      <c r="M159" s="3" t="str">
        <f>CONCATENATE("DLBLSN69T19H501E")</f>
        <v>DLBLSN69T19H501E</v>
      </c>
      <c r="N159" s="3" t="s">
        <v>261</v>
      </c>
      <c r="O159" s="3"/>
      <c r="P159" s="4">
        <v>42783</v>
      </c>
      <c r="Q159" s="3" t="s">
        <v>27</v>
      </c>
      <c r="R159" s="3" t="s">
        <v>28</v>
      </c>
      <c r="S159" s="3" t="s">
        <v>29</v>
      </c>
      <c r="T159" s="5">
        <v>6474.93</v>
      </c>
      <c r="U159" s="5">
        <v>2791.99</v>
      </c>
      <c r="V159" s="5">
        <v>2578.3200000000002</v>
      </c>
      <c r="W159" s="5">
        <v>1104.6199999999999</v>
      </c>
    </row>
    <row r="160" spans="1:23" ht="72.75">
      <c r="A160" s="3" t="s">
        <v>23</v>
      </c>
      <c r="B160" s="3" t="s">
        <v>24</v>
      </c>
      <c r="C160" s="3" t="s">
        <v>35</v>
      </c>
      <c r="D160" s="3" t="s">
        <v>43</v>
      </c>
      <c r="E160" s="3" t="s">
        <v>30</v>
      </c>
      <c r="F160" s="3" t="s">
        <v>76</v>
      </c>
      <c r="G160" s="3">
        <v>2016</v>
      </c>
      <c r="H160" s="3" t="str">
        <f>CONCATENATE("64210087462")</f>
        <v>64210087462</v>
      </c>
      <c r="I160" s="3" t="s">
        <v>25</v>
      </c>
      <c r="J160" s="3" t="s">
        <v>26</v>
      </c>
      <c r="K160" s="3" t="str">
        <f t="shared" si="8"/>
        <v/>
      </c>
      <c r="L160" s="3" t="str">
        <f>CONCATENATE("13 13.1 4a")</f>
        <v>13 13.1 4a</v>
      </c>
      <c r="M160" s="3" t="str">
        <f>CONCATENATE("GRSRSO48B65G551R")</f>
        <v>GRSRSO48B65G551R</v>
      </c>
      <c r="N160" s="3" t="s">
        <v>262</v>
      </c>
      <c r="O160" s="3"/>
      <c r="P160" s="4">
        <v>42783</v>
      </c>
      <c r="Q160" s="3" t="s">
        <v>27</v>
      </c>
      <c r="R160" s="3" t="s">
        <v>28</v>
      </c>
      <c r="S160" s="3" t="s">
        <v>29</v>
      </c>
      <c r="T160" s="3">
        <v>776.42</v>
      </c>
      <c r="U160" s="3">
        <v>334.79</v>
      </c>
      <c r="V160" s="3">
        <v>309.17</v>
      </c>
      <c r="W160" s="3">
        <v>132.46</v>
      </c>
    </row>
    <row r="161" spans="1:23" ht="60.75">
      <c r="A161" s="3" t="s">
        <v>23</v>
      </c>
      <c r="B161" s="3" t="s">
        <v>24</v>
      </c>
      <c r="C161" s="3" t="s">
        <v>35</v>
      </c>
      <c r="D161" s="3" t="s">
        <v>36</v>
      </c>
      <c r="E161" s="3" t="s">
        <v>32</v>
      </c>
      <c r="F161" s="3" t="s">
        <v>179</v>
      </c>
      <c r="G161" s="3">
        <v>2016</v>
      </c>
      <c r="H161" s="3" t="str">
        <f>CONCATENATE("64240889317")</f>
        <v>64240889317</v>
      </c>
      <c r="I161" s="3" t="s">
        <v>25</v>
      </c>
      <c r="J161" s="3" t="s">
        <v>26</v>
      </c>
      <c r="K161" s="3" t="str">
        <f t="shared" si="8"/>
        <v/>
      </c>
      <c r="L161" s="3" t="str">
        <f>CONCATENATE("10 10.1 4b")</f>
        <v>10 10.1 4b</v>
      </c>
      <c r="M161" s="3" t="str">
        <f>CONCATENATE("FRSLDA53H12F722Y")</f>
        <v>FRSLDA53H12F722Y</v>
      </c>
      <c r="N161" s="3" t="s">
        <v>263</v>
      </c>
      <c r="O161" s="3"/>
      <c r="P161" s="4">
        <v>42783</v>
      </c>
      <c r="Q161" s="3" t="s">
        <v>27</v>
      </c>
      <c r="R161" s="3" t="s">
        <v>28</v>
      </c>
      <c r="S161" s="3" t="s">
        <v>29</v>
      </c>
      <c r="T161" s="5">
        <v>1045.1500000000001</v>
      </c>
      <c r="U161" s="3">
        <v>450.67</v>
      </c>
      <c r="V161" s="3">
        <v>416.18</v>
      </c>
      <c r="W161" s="3">
        <v>178.3</v>
      </c>
    </row>
    <row r="162" spans="1:23" ht="60.75">
      <c r="A162" s="3" t="s">
        <v>23</v>
      </c>
      <c r="B162" s="3" t="s">
        <v>24</v>
      </c>
      <c r="C162" s="3" t="s">
        <v>35</v>
      </c>
      <c r="D162" s="3" t="s">
        <v>39</v>
      </c>
      <c r="E162" s="3" t="s">
        <v>32</v>
      </c>
      <c r="F162" s="3" t="s">
        <v>215</v>
      </c>
      <c r="G162" s="3">
        <v>2016</v>
      </c>
      <c r="H162" s="3" t="str">
        <f>CONCATENATE("64240268967")</f>
        <v>64240268967</v>
      </c>
      <c r="I162" s="3" t="s">
        <v>25</v>
      </c>
      <c r="J162" s="3" t="s">
        <v>26</v>
      </c>
      <c r="K162" s="3" t="str">
        <f t="shared" si="8"/>
        <v/>
      </c>
      <c r="L162" s="3" t="str">
        <f>CONCATENATE("10 10.1 4a")</f>
        <v>10 10.1 4a</v>
      </c>
      <c r="M162" s="3" t="str">
        <f>CONCATENATE("FRLMCL46A01E388M")</f>
        <v>FRLMCL46A01E388M</v>
      </c>
      <c r="N162" s="3" t="s">
        <v>264</v>
      </c>
      <c r="O162" s="3"/>
      <c r="P162" s="4">
        <v>42783</v>
      </c>
      <c r="Q162" s="3" t="s">
        <v>27</v>
      </c>
      <c r="R162" s="3" t="s">
        <v>28</v>
      </c>
      <c r="S162" s="3" t="s">
        <v>29</v>
      </c>
      <c r="T162" s="3">
        <v>97.2</v>
      </c>
      <c r="U162" s="3">
        <v>41.91</v>
      </c>
      <c r="V162" s="3">
        <v>38.71</v>
      </c>
      <c r="W162" s="3">
        <v>16.579999999999998</v>
      </c>
    </row>
    <row r="163" spans="1:23" ht="72.75">
      <c r="A163" s="3" t="s">
        <v>23</v>
      </c>
      <c r="B163" s="3" t="s">
        <v>24</v>
      </c>
      <c r="C163" s="3" t="s">
        <v>35</v>
      </c>
      <c r="D163" s="3" t="s">
        <v>36</v>
      </c>
      <c r="E163" s="3" t="s">
        <v>30</v>
      </c>
      <c r="F163" s="3" t="s">
        <v>257</v>
      </c>
      <c r="G163" s="3">
        <v>2016</v>
      </c>
      <c r="H163" s="3" t="str">
        <f>CONCATENATE("64240647970")</f>
        <v>64240647970</v>
      </c>
      <c r="I163" s="3" t="s">
        <v>25</v>
      </c>
      <c r="J163" s="3" t="s">
        <v>26</v>
      </c>
      <c r="K163" s="3" t="str">
        <f t="shared" si="8"/>
        <v/>
      </c>
      <c r="L163" s="3" t="str">
        <f>CONCATENATE("10 10.1 4a")</f>
        <v>10 10.1 4a</v>
      </c>
      <c r="M163" s="3" t="str">
        <f>CONCATENATE("REXGPP34M56H501A")</f>
        <v>REXGPP34M56H501A</v>
      </c>
      <c r="N163" s="3" t="s">
        <v>265</v>
      </c>
      <c r="O163" s="3"/>
      <c r="P163" s="4">
        <v>42783</v>
      </c>
      <c r="Q163" s="3" t="s">
        <v>27</v>
      </c>
      <c r="R163" s="3" t="s">
        <v>28</v>
      </c>
      <c r="S163" s="3" t="s">
        <v>29</v>
      </c>
      <c r="T163" s="5">
        <v>1180.2</v>
      </c>
      <c r="U163" s="3">
        <v>508.9</v>
      </c>
      <c r="V163" s="3">
        <v>469.96</v>
      </c>
      <c r="W163" s="3">
        <v>201.34</v>
      </c>
    </row>
    <row r="164" spans="1:23" ht="60.75">
      <c r="A164" s="3" t="s">
        <v>23</v>
      </c>
      <c r="B164" s="3" t="s">
        <v>24</v>
      </c>
      <c r="C164" s="3" t="s">
        <v>35</v>
      </c>
      <c r="D164" s="3" t="s">
        <v>43</v>
      </c>
      <c r="E164" s="3" t="s">
        <v>30</v>
      </c>
      <c r="F164" s="3" t="s">
        <v>131</v>
      </c>
      <c r="G164" s="3">
        <v>2016</v>
      </c>
      <c r="H164" s="3" t="str">
        <f>CONCATENATE("64210784738")</f>
        <v>64210784738</v>
      </c>
      <c r="I164" s="3" t="s">
        <v>25</v>
      </c>
      <c r="J164" s="3" t="s">
        <v>26</v>
      </c>
      <c r="K164" s="3" t="str">
        <f t="shared" si="8"/>
        <v/>
      </c>
      <c r="L164" s="3" t="str">
        <f>CONCATENATE("13 13.1 4a")</f>
        <v>13 13.1 4a</v>
      </c>
      <c r="M164" s="3" t="str">
        <f>CONCATENATE("MNCGRL83H30D749T")</f>
        <v>MNCGRL83H30D749T</v>
      </c>
      <c r="N164" s="3" t="s">
        <v>266</v>
      </c>
      <c r="O164" s="3"/>
      <c r="P164" s="4">
        <v>42783</v>
      </c>
      <c r="Q164" s="3" t="s">
        <v>27</v>
      </c>
      <c r="R164" s="3" t="s">
        <v>28</v>
      </c>
      <c r="S164" s="3" t="s">
        <v>29</v>
      </c>
      <c r="T164" s="5">
        <v>4432.34</v>
      </c>
      <c r="U164" s="5">
        <v>1911.23</v>
      </c>
      <c r="V164" s="5">
        <v>1764.96</v>
      </c>
      <c r="W164" s="3">
        <v>756.15</v>
      </c>
    </row>
    <row r="165" spans="1:23" ht="60.75">
      <c r="A165" s="3" t="s">
        <v>23</v>
      </c>
      <c r="B165" s="3" t="s">
        <v>24</v>
      </c>
      <c r="C165" s="3" t="s">
        <v>35</v>
      </c>
      <c r="D165" s="3" t="s">
        <v>43</v>
      </c>
      <c r="E165" s="3" t="s">
        <v>30</v>
      </c>
      <c r="F165" s="3" t="s">
        <v>124</v>
      </c>
      <c r="G165" s="3">
        <v>2016</v>
      </c>
      <c r="H165" s="3" t="str">
        <f>CONCATENATE("64210399065")</f>
        <v>64210399065</v>
      </c>
      <c r="I165" s="3" t="s">
        <v>25</v>
      </c>
      <c r="J165" s="3" t="s">
        <v>26</v>
      </c>
      <c r="K165" s="3" t="str">
        <f t="shared" si="8"/>
        <v/>
      </c>
      <c r="L165" s="3" t="str">
        <f>CONCATENATE("13 13.1 4a")</f>
        <v>13 13.1 4a</v>
      </c>
      <c r="M165" s="3" t="str">
        <f>CONCATENATE("DNTCLD72H59I287N")</f>
        <v>DNTCLD72H59I287N</v>
      </c>
      <c r="N165" s="3" t="s">
        <v>267</v>
      </c>
      <c r="O165" s="3"/>
      <c r="P165" s="4">
        <v>42783</v>
      </c>
      <c r="Q165" s="3" t="s">
        <v>27</v>
      </c>
      <c r="R165" s="3" t="s">
        <v>28</v>
      </c>
      <c r="S165" s="3" t="s">
        <v>29</v>
      </c>
      <c r="T165" s="3">
        <v>994.2</v>
      </c>
      <c r="U165" s="3">
        <v>428.7</v>
      </c>
      <c r="V165" s="3">
        <v>395.89</v>
      </c>
      <c r="W165" s="3">
        <v>169.61</v>
      </c>
    </row>
    <row r="166" spans="1:23" ht="60.75">
      <c r="A166" s="3" t="s">
        <v>23</v>
      </c>
      <c r="B166" s="3" t="s">
        <v>24</v>
      </c>
      <c r="C166" s="3" t="s">
        <v>35</v>
      </c>
      <c r="D166" s="3" t="s">
        <v>43</v>
      </c>
      <c r="E166" s="3" t="s">
        <v>30</v>
      </c>
      <c r="F166" s="3" t="s">
        <v>109</v>
      </c>
      <c r="G166" s="3">
        <v>2016</v>
      </c>
      <c r="H166" s="3" t="str">
        <f>CONCATENATE("64240722781")</f>
        <v>64240722781</v>
      </c>
      <c r="I166" s="3" t="s">
        <v>25</v>
      </c>
      <c r="J166" s="3" t="s">
        <v>26</v>
      </c>
      <c r="K166" s="3" t="str">
        <f t="shared" si="8"/>
        <v/>
      </c>
      <c r="L166" s="3" t="str">
        <f t="shared" ref="L166:L183" si="9">CONCATENATE("11 11.2 4b")</f>
        <v>11 11.2 4b</v>
      </c>
      <c r="M166" s="3" t="str">
        <f>CONCATENATE("VNNGPP50L60G453O")</f>
        <v>VNNGPP50L60G453O</v>
      </c>
      <c r="N166" s="3" t="s">
        <v>268</v>
      </c>
      <c r="O166" s="3"/>
      <c r="P166" s="4">
        <v>42783</v>
      </c>
      <c r="Q166" s="3" t="s">
        <v>27</v>
      </c>
      <c r="R166" s="3" t="s">
        <v>28</v>
      </c>
      <c r="S166" s="3" t="s">
        <v>29</v>
      </c>
      <c r="T166" s="5">
        <v>3179.18</v>
      </c>
      <c r="U166" s="5">
        <v>1370.86</v>
      </c>
      <c r="V166" s="5">
        <v>1265.95</v>
      </c>
      <c r="W166" s="3">
        <v>542.37</v>
      </c>
    </row>
    <row r="167" spans="1:23" ht="36.75">
      <c r="A167" s="3" t="s">
        <v>23</v>
      </c>
      <c r="B167" s="3" t="s">
        <v>24</v>
      </c>
      <c r="C167" s="3" t="s">
        <v>35</v>
      </c>
      <c r="D167" s="3" t="s">
        <v>36</v>
      </c>
      <c r="E167" s="3" t="s">
        <v>59</v>
      </c>
      <c r="F167" s="3" t="s">
        <v>62</v>
      </c>
      <c r="G167" s="3">
        <v>2016</v>
      </c>
      <c r="H167" s="3" t="str">
        <f>CONCATENATE("64240905584")</f>
        <v>64240905584</v>
      </c>
      <c r="I167" s="3" t="s">
        <v>25</v>
      </c>
      <c r="J167" s="3" t="s">
        <v>26</v>
      </c>
      <c r="K167" s="3" t="str">
        <f t="shared" si="8"/>
        <v/>
      </c>
      <c r="L167" s="3" t="str">
        <f t="shared" si="9"/>
        <v>11 11.2 4b</v>
      </c>
      <c r="M167" s="3" t="str">
        <f>CONCATENATE("02642500967")</f>
        <v>02642500967</v>
      </c>
      <c r="N167" s="3" t="s">
        <v>269</v>
      </c>
      <c r="O167" s="3"/>
      <c r="P167" s="4">
        <v>42783</v>
      </c>
      <c r="Q167" s="3" t="s">
        <v>27</v>
      </c>
      <c r="R167" s="3" t="s">
        <v>28</v>
      </c>
      <c r="S167" s="3" t="s">
        <v>29</v>
      </c>
      <c r="T167" s="5">
        <v>3995.24</v>
      </c>
      <c r="U167" s="5">
        <v>1722.75</v>
      </c>
      <c r="V167" s="5">
        <v>1590.9</v>
      </c>
      <c r="W167" s="3">
        <v>681.59</v>
      </c>
    </row>
    <row r="168" spans="1:23" ht="60.75">
      <c r="A168" s="3" t="s">
        <v>23</v>
      </c>
      <c r="B168" s="3" t="s">
        <v>24</v>
      </c>
      <c r="C168" s="3" t="s">
        <v>35</v>
      </c>
      <c r="D168" s="3" t="s">
        <v>43</v>
      </c>
      <c r="E168" s="3" t="s">
        <v>30</v>
      </c>
      <c r="F168" s="3" t="s">
        <v>109</v>
      </c>
      <c r="G168" s="3">
        <v>2016</v>
      </c>
      <c r="H168" s="3" t="str">
        <f>CONCATENATE("64240736302")</f>
        <v>64240736302</v>
      </c>
      <c r="I168" s="3" t="s">
        <v>25</v>
      </c>
      <c r="J168" s="3" t="s">
        <v>26</v>
      </c>
      <c r="K168" s="3" t="str">
        <f t="shared" si="8"/>
        <v/>
      </c>
      <c r="L168" s="3" t="str">
        <f t="shared" si="9"/>
        <v>11 11.2 4b</v>
      </c>
      <c r="M168" s="3" t="str">
        <f>CONCATENATE("CCCRTT69R55D451Z")</f>
        <v>CCCRTT69R55D451Z</v>
      </c>
      <c r="N168" s="3" t="s">
        <v>270</v>
      </c>
      <c r="O168" s="3"/>
      <c r="P168" s="4">
        <v>42783</v>
      </c>
      <c r="Q168" s="3" t="s">
        <v>27</v>
      </c>
      <c r="R168" s="3" t="s">
        <v>28</v>
      </c>
      <c r="S168" s="3" t="s">
        <v>29</v>
      </c>
      <c r="T168" s="5">
        <v>8094.75</v>
      </c>
      <c r="U168" s="5">
        <v>3490.46</v>
      </c>
      <c r="V168" s="5">
        <v>3223.33</v>
      </c>
      <c r="W168" s="5">
        <v>1380.96</v>
      </c>
    </row>
    <row r="169" spans="1:23" ht="60.75">
      <c r="A169" s="3" t="s">
        <v>23</v>
      </c>
      <c r="B169" s="3" t="s">
        <v>24</v>
      </c>
      <c r="C169" s="3" t="s">
        <v>35</v>
      </c>
      <c r="D169" s="3" t="s">
        <v>39</v>
      </c>
      <c r="E169" s="3" t="s">
        <v>32</v>
      </c>
      <c r="F169" s="3" t="s">
        <v>215</v>
      </c>
      <c r="G169" s="3">
        <v>2016</v>
      </c>
      <c r="H169" s="3" t="str">
        <f>CONCATENATE("64240214367")</f>
        <v>64240214367</v>
      </c>
      <c r="I169" s="3" t="s">
        <v>25</v>
      </c>
      <c r="J169" s="3" t="s">
        <v>26</v>
      </c>
      <c r="K169" s="3" t="str">
        <f t="shared" si="8"/>
        <v/>
      </c>
      <c r="L169" s="3" t="str">
        <f t="shared" si="9"/>
        <v>11 11.2 4b</v>
      </c>
      <c r="M169" s="3" t="str">
        <f>CONCATENATE("CNDCRL63E17F634T")</f>
        <v>CNDCRL63E17F634T</v>
      </c>
      <c r="N169" s="3" t="s">
        <v>271</v>
      </c>
      <c r="O169" s="3"/>
      <c r="P169" s="4">
        <v>42783</v>
      </c>
      <c r="Q169" s="3" t="s">
        <v>27</v>
      </c>
      <c r="R169" s="3" t="s">
        <v>28</v>
      </c>
      <c r="S169" s="3" t="s">
        <v>29</v>
      </c>
      <c r="T169" s="5">
        <v>1740</v>
      </c>
      <c r="U169" s="3">
        <v>750.29</v>
      </c>
      <c r="V169" s="3">
        <v>692.87</v>
      </c>
      <c r="W169" s="3">
        <v>296.83999999999997</v>
      </c>
    </row>
    <row r="170" spans="1:23" ht="60.75">
      <c r="A170" s="3" t="s">
        <v>23</v>
      </c>
      <c r="B170" s="3" t="s">
        <v>24</v>
      </c>
      <c r="C170" s="3" t="s">
        <v>35</v>
      </c>
      <c r="D170" s="3" t="s">
        <v>48</v>
      </c>
      <c r="E170" s="3" t="s">
        <v>30</v>
      </c>
      <c r="F170" s="3" t="s">
        <v>111</v>
      </c>
      <c r="G170" s="3">
        <v>2016</v>
      </c>
      <c r="H170" s="3" t="str">
        <f>CONCATENATE("64240769162")</f>
        <v>64240769162</v>
      </c>
      <c r="I170" s="3" t="s">
        <v>25</v>
      </c>
      <c r="J170" s="3" t="s">
        <v>26</v>
      </c>
      <c r="K170" s="3" t="str">
        <f t="shared" si="8"/>
        <v/>
      </c>
      <c r="L170" s="3" t="str">
        <f t="shared" si="9"/>
        <v>11 11.2 4b</v>
      </c>
      <c r="M170" s="3" t="str">
        <f>CONCATENATE("PTNFNC64B42A739I")</f>
        <v>PTNFNC64B42A739I</v>
      </c>
      <c r="N170" s="3" t="s">
        <v>272</v>
      </c>
      <c r="O170" s="3"/>
      <c r="P170" s="4">
        <v>42783</v>
      </c>
      <c r="Q170" s="3" t="s">
        <v>27</v>
      </c>
      <c r="R170" s="3" t="s">
        <v>28</v>
      </c>
      <c r="S170" s="3" t="s">
        <v>29</v>
      </c>
      <c r="T170" s="5">
        <v>10137.049999999999</v>
      </c>
      <c r="U170" s="5">
        <v>4371.1000000000004</v>
      </c>
      <c r="V170" s="5">
        <v>4036.57</v>
      </c>
      <c r="W170" s="5">
        <v>1729.38</v>
      </c>
    </row>
    <row r="171" spans="1:23" ht="60.75">
      <c r="A171" s="3" t="s">
        <v>23</v>
      </c>
      <c r="B171" s="3" t="s">
        <v>24</v>
      </c>
      <c r="C171" s="3" t="s">
        <v>35</v>
      </c>
      <c r="D171" s="3" t="s">
        <v>36</v>
      </c>
      <c r="E171" s="3" t="s">
        <v>34</v>
      </c>
      <c r="F171" s="3" t="s">
        <v>273</v>
      </c>
      <c r="G171" s="3">
        <v>2016</v>
      </c>
      <c r="H171" s="3" t="str">
        <f>CONCATENATE("64240206504")</f>
        <v>64240206504</v>
      </c>
      <c r="I171" s="3" t="s">
        <v>25</v>
      </c>
      <c r="J171" s="3" t="s">
        <v>26</v>
      </c>
      <c r="K171" s="3" t="str">
        <f t="shared" si="8"/>
        <v/>
      </c>
      <c r="L171" s="3" t="str">
        <f t="shared" si="9"/>
        <v>11 11.2 4b</v>
      </c>
      <c r="M171" s="3" t="str">
        <f>CONCATENATE("PRRDRS52E66Z131A")</f>
        <v>PRRDRS52E66Z131A</v>
      </c>
      <c r="N171" s="3" t="s">
        <v>274</v>
      </c>
      <c r="O171" s="3"/>
      <c r="P171" s="4">
        <v>42783</v>
      </c>
      <c r="Q171" s="3" t="s">
        <v>27</v>
      </c>
      <c r="R171" s="3" t="s">
        <v>28</v>
      </c>
      <c r="S171" s="3" t="s">
        <v>29</v>
      </c>
      <c r="T171" s="5">
        <v>4229.5</v>
      </c>
      <c r="U171" s="5">
        <v>1823.76</v>
      </c>
      <c r="V171" s="5">
        <v>1684.19</v>
      </c>
      <c r="W171" s="3">
        <v>721.55</v>
      </c>
    </row>
    <row r="172" spans="1:23" ht="36.75">
      <c r="A172" s="3" t="s">
        <v>23</v>
      </c>
      <c r="B172" s="3" t="s">
        <v>24</v>
      </c>
      <c r="C172" s="3" t="s">
        <v>35</v>
      </c>
      <c r="D172" s="3" t="s">
        <v>36</v>
      </c>
      <c r="E172" s="3" t="s">
        <v>59</v>
      </c>
      <c r="F172" s="3" t="s">
        <v>62</v>
      </c>
      <c r="G172" s="3">
        <v>2016</v>
      </c>
      <c r="H172" s="3" t="str">
        <f>CONCATENATE("64240326229")</f>
        <v>64240326229</v>
      </c>
      <c r="I172" s="3" t="s">
        <v>25</v>
      </c>
      <c r="J172" s="3" t="s">
        <v>26</v>
      </c>
      <c r="K172" s="3" t="str">
        <f t="shared" si="8"/>
        <v/>
      </c>
      <c r="L172" s="3" t="str">
        <f t="shared" si="9"/>
        <v>11 11.2 4b</v>
      </c>
      <c r="M172" s="3" t="str">
        <f>CONCATENATE("02145520447")</f>
        <v>02145520447</v>
      </c>
      <c r="N172" s="3" t="s">
        <v>275</v>
      </c>
      <c r="O172" s="3"/>
      <c r="P172" s="4">
        <v>42783</v>
      </c>
      <c r="Q172" s="3" t="s">
        <v>27</v>
      </c>
      <c r="R172" s="3" t="s">
        <v>28</v>
      </c>
      <c r="S172" s="3" t="s">
        <v>29</v>
      </c>
      <c r="T172" s="5">
        <v>1683.71</v>
      </c>
      <c r="U172" s="3">
        <v>726.02</v>
      </c>
      <c r="V172" s="3">
        <v>670.45</v>
      </c>
      <c r="W172" s="3">
        <v>287.24</v>
      </c>
    </row>
    <row r="173" spans="1:23" ht="60.75">
      <c r="A173" s="3" t="s">
        <v>23</v>
      </c>
      <c r="B173" s="3" t="s">
        <v>24</v>
      </c>
      <c r="C173" s="3" t="s">
        <v>35</v>
      </c>
      <c r="D173" s="3" t="s">
        <v>43</v>
      </c>
      <c r="E173" s="3" t="s">
        <v>49</v>
      </c>
      <c r="F173" s="3" t="s">
        <v>276</v>
      </c>
      <c r="G173" s="3">
        <v>2016</v>
      </c>
      <c r="H173" s="3" t="str">
        <f>CONCATENATE("64240646386")</f>
        <v>64240646386</v>
      </c>
      <c r="I173" s="3" t="s">
        <v>25</v>
      </c>
      <c r="J173" s="3" t="s">
        <v>26</v>
      </c>
      <c r="K173" s="3" t="str">
        <f t="shared" si="8"/>
        <v/>
      </c>
      <c r="L173" s="3" t="str">
        <f t="shared" si="9"/>
        <v>11 11.2 4b</v>
      </c>
      <c r="M173" s="3" t="str">
        <f>CONCATENATE("MRCMHL71L12G479V")</f>
        <v>MRCMHL71L12G479V</v>
      </c>
      <c r="N173" s="3" t="s">
        <v>277</v>
      </c>
      <c r="O173" s="3"/>
      <c r="P173" s="4">
        <v>42783</v>
      </c>
      <c r="Q173" s="3" t="s">
        <v>27</v>
      </c>
      <c r="R173" s="3" t="s">
        <v>28</v>
      </c>
      <c r="S173" s="3" t="s">
        <v>29</v>
      </c>
      <c r="T173" s="5">
        <v>2401.35</v>
      </c>
      <c r="U173" s="5">
        <v>1035.46</v>
      </c>
      <c r="V173" s="3">
        <v>956.22</v>
      </c>
      <c r="W173" s="3">
        <v>409.67</v>
      </c>
    </row>
    <row r="174" spans="1:23" ht="36.75">
      <c r="A174" s="3" t="s">
        <v>23</v>
      </c>
      <c r="B174" s="3" t="s">
        <v>24</v>
      </c>
      <c r="C174" s="3" t="s">
        <v>35</v>
      </c>
      <c r="D174" s="3" t="s">
        <v>43</v>
      </c>
      <c r="E174" s="3" t="s">
        <v>30</v>
      </c>
      <c r="F174" s="3" t="s">
        <v>109</v>
      </c>
      <c r="G174" s="3">
        <v>2016</v>
      </c>
      <c r="H174" s="3" t="str">
        <f>CONCATENATE("64240725149")</f>
        <v>64240725149</v>
      </c>
      <c r="I174" s="3" t="s">
        <v>25</v>
      </c>
      <c r="J174" s="3" t="s">
        <v>26</v>
      </c>
      <c r="K174" s="3" t="str">
        <f t="shared" si="8"/>
        <v/>
      </c>
      <c r="L174" s="3" t="str">
        <f t="shared" si="9"/>
        <v>11 11.2 4b</v>
      </c>
      <c r="M174" s="3" t="str">
        <f>CONCATENATE("02014880419")</f>
        <v>02014880419</v>
      </c>
      <c r="N174" s="3" t="s">
        <v>278</v>
      </c>
      <c r="O174" s="3"/>
      <c r="P174" s="4">
        <v>42783</v>
      </c>
      <c r="Q174" s="3" t="s">
        <v>27</v>
      </c>
      <c r="R174" s="3" t="s">
        <v>28</v>
      </c>
      <c r="S174" s="3" t="s">
        <v>29</v>
      </c>
      <c r="T174" s="5">
        <v>7330.4</v>
      </c>
      <c r="U174" s="5">
        <v>3160.87</v>
      </c>
      <c r="V174" s="5">
        <v>2918.97</v>
      </c>
      <c r="W174" s="5">
        <v>1250.56</v>
      </c>
    </row>
    <row r="175" spans="1:23" ht="36.75">
      <c r="A175" s="3" t="s">
        <v>23</v>
      </c>
      <c r="B175" s="3" t="s">
        <v>24</v>
      </c>
      <c r="C175" s="3" t="s">
        <v>35</v>
      </c>
      <c r="D175" s="3" t="s">
        <v>48</v>
      </c>
      <c r="E175" s="3" t="s">
        <v>49</v>
      </c>
      <c r="F175" s="3" t="s">
        <v>74</v>
      </c>
      <c r="G175" s="3">
        <v>2016</v>
      </c>
      <c r="H175" s="3" t="str">
        <f>CONCATENATE("64240447132")</f>
        <v>64240447132</v>
      </c>
      <c r="I175" s="3" t="s">
        <v>25</v>
      </c>
      <c r="J175" s="3" t="s">
        <v>26</v>
      </c>
      <c r="K175" s="3" t="str">
        <f t="shared" si="8"/>
        <v/>
      </c>
      <c r="L175" s="3" t="str">
        <f t="shared" si="9"/>
        <v>11 11.2 4b</v>
      </c>
      <c r="M175" s="3" t="str">
        <f>CONCATENATE("01831500432")</f>
        <v>01831500432</v>
      </c>
      <c r="N175" s="3" t="s">
        <v>279</v>
      </c>
      <c r="O175" s="3"/>
      <c r="P175" s="4">
        <v>42783</v>
      </c>
      <c r="Q175" s="3" t="s">
        <v>27</v>
      </c>
      <c r="R175" s="3" t="s">
        <v>28</v>
      </c>
      <c r="S175" s="3" t="s">
        <v>29</v>
      </c>
      <c r="T175" s="5">
        <v>15309.6</v>
      </c>
      <c r="U175" s="5">
        <v>6601.5</v>
      </c>
      <c r="V175" s="5">
        <v>6096.28</v>
      </c>
      <c r="W175" s="5">
        <v>2611.8200000000002</v>
      </c>
    </row>
    <row r="176" spans="1:23" ht="60.75">
      <c r="A176" s="3" t="s">
        <v>23</v>
      </c>
      <c r="B176" s="3" t="s">
        <v>24</v>
      </c>
      <c r="C176" s="3" t="s">
        <v>35</v>
      </c>
      <c r="D176" s="3" t="s">
        <v>48</v>
      </c>
      <c r="E176" s="3" t="s">
        <v>30</v>
      </c>
      <c r="F176" s="3" t="s">
        <v>91</v>
      </c>
      <c r="G176" s="3">
        <v>2016</v>
      </c>
      <c r="H176" s="3" t="str">
        <f>CONCATENATE("64240318002")</f>
        <v>64240318002</v>
      </c>
      <c r="I176" s="3" t="s">
        <v>25</v>
      </c>
      <c r="J176" s="3" t="s">
        <v>26</v>
      </c>
      <c r="K176" s="3" t="str">
        <f t="shared" si="8"/>
        <v/>
      </c>
      <c r="L176" s="3" t="str">
        <f t="shared" si="9"/>
        <v>11 11.2 4b</v>
      </c>
      <c r="M176" s="3" t="str">
        <f>CONCATENATE("PPVMRZ58M26I156B")</f>
        <v>PPVMRZ58M26I156B</v>
      </c>
      <c r="N176" s="3" t="s">
        <v>280</v>
      </c>
      <c r="O176" s="3"/>
      <c r="P176" s="4">
        <v>42783</v>
      </c>
      <c r="Q176" s="3" t="s">
        <v>27</v>
      </c>
      <c r="R176" s="3" t="s">
        <v>28</v>
      </c>
      <c r="S176" s="3" t="s">
        <v>29</v>
      </c>
      <c r="T176" s="5">
        <v>6313.23</v>
      </c>
      <c r="U176" s="5">
        <v>2722.26</v>
      </c>
      <c r="V176" s="5">
        <v>2513.9299999999998</v>
      </c>
      <c r="W176" s="5">
        <v>1077.04</v>
      </c>
    </row>
    <row r="177" spans="1:23" ht="36.75">
      <c r="A177" s="3" t="s">
        <v>23</v>
      </c>
      <c r="B177" s="3" t="s">
        <v>24</v>
      </c>
      <c r="C177" s="3" t="s">
        <v>35</v>
      </c>
      <c r="D177" s="3" t="s">
        <v>43</v>
      </c>
      <c r="E177" s="3" t="s">
        <v>49</v>
      </c>
      <c r="F177" s="3" t="s">
        <v>276</v>
      </c>
      <c r="G177" s="3">
        <v>2016</v>
      </c>
      <c r="H177" s="3" t="str">
        <f>CONCATENATE("64240586574")</f>
        <v>64240586574</v>
      </c>
      <c r="I177" s="3" t="s">
        <v>25</v>
      </c>
      <c r="J177" s="3" t="s">
        <v>26</v>
      </c>
      <c r="K177" s="3" t="str">
        <f t="shared" si="8"/>
        <v/>
      </c>
      <c r="L177" s="3" t="str">
        <f t="shared" si="9"/>
        <v>11 11.2 4b</v>
      </c>
      <c r="M177" s="3" t="str">
        <f>CONCATENATE("02244030413")</f>
        <v>02244030413</v>
      </c>
      <c r="N177" s="3" t="s">
        <v>281</v>
      </c>
      <c r="O177" s="3"/>
      <c r="P177" s="4">
        <v>42783</v>
      </c>
      <c r="Q177" s="3" t="s">
        <v>27</v>
      </c>
      <c r="R177" s="3" t="s">
        <v>28</v>
      </c>
      <c r="S177" s="3" t="s">
        <v>29</v>
      </c>
      <c r="T177" s="5">
        <v>1152.76</v>
      </c>
      <c r="U177" s="3">
        <v>497.07</v>
      </c>
      <c r="V177" s="3">
        <v>459.03</v>
      </c>
      <c r="W177" s="3">
        <v>196.66</v>
      </c>
    </row>
    <row r="178" spans="1:23" ht="60.75">
      <c r="A178" s="3" t="s">
        <v>23</v>
      </c>
      <c r="B178" s="3" t="s">
        <v>24</v>
      </c>
      <c r="C178" s="3" t="s">
        <v>35</v>
      </c>
      <c r="D178" s="3" t="s">
        <v>43</v>
      </c>
      <c r="E178" s="3" t="s">
        <v>30</v>
      </c>
      <c r="F178" s="3" t="s">
        <v>199</v>
      </c>
      <c r="G178" s="3">
        <v>2016</v>
      </c>
      <c r="H178" s="3" t="str">
        <f>CONCATENATE("64240419123")</f>
        <v>64240419123</v>
      </c>
      <c r="I178" s="3" t="s">
        <v>25</v>
      </c>
      <c r="J178" s="3" t="s">
        <v>26</v>
      </c>
      <c r="K178" s="3" t="str">
        <f t="shared" si="8"/>
        <v/>
      </c>
      <c r="L178" s="3" t="str">
        <f t="shared" si="9"/>
        <v>11 11.2 4b</v>
      </c>
      <c r="M178" s="3" t="str">
        <f>CONCATENATE("PRNRRT62H20G479I")</f>
        <v>PRNRRT62H20G479I</v>
      </c>
      <c r="N178" s="3" t="s">
        <v>282</v>
      </c>
      <c r="O178" s="3"/>
      <c r="P178" s="4">
        <v>42783</v>
      </c>
      <c r="Q178" s="3" t="s">
        <v>27</v>
      </c>
      <c r="R178" s="3" t="s">
        <v>28</v>
      </c>
      <c r="S178" s="3" t="s">
        <v>29</v>
      </c>
      <c r="T178" s="5">
        <v>4242.6400000000003</v>
      </c>
      <c r="U178" s="5">
        <v>1829.43</v>
      </c>
      <c r="V178" s="5">
        <v>1689.42</v>
      </c>
      <c r="W178" s="3">
        <v>723.79</v>
      </c>
    </row>
    <row r="179" spans="1:23" ht="60.75">
      <c r="A179" s="3" t="s">
        <v>23</v>
      </c>
      <c r="B179" s="3" t="s">
        <v>24</v>
      </c>
      <c r="C179" s="3" t="s">
        <v>35</v>
      </c>
      <c r="D179" s="3" t="s">
        <v>36</v>
      </c>
      <c r="E179" s="3" t="s">
        <v>42</v>
      </c>
      <c r="F179" s="3" t="s">
        <v>42</v>
      </c>
      <c r="G179" s="3">
        <v>2016</v>
      </c>
      <c r="H179" s="3" t="str">
        <f>CONCATENATE("64240122768")</f>
        <v>64240122768</v>
      </c>
      <c r="I179" s="3" t="s">
        <v>25</v>
      </c>
      <c r="J179" s="3" t="s">
        <v>26</v>
      </c>
      <c r="K179" s="3" t="str">
        <f t="shared" si="8"/>
        <v/>
      </c>
      <c r="L179" s="3" t="str">
        <f t="shared" si="9"/>
        <v>11 11.2 4b</v>
      </c>
      <c r="M179" s="3" t="str">
        <f>CONCATENATE("SPNFNC56E03C321Q")</f>
        <v>SPNFNC56E03C321Q</v>
      </c>
      <c r="N179" s="3" t="s">
        <v>283</v>
      </c>
      <c r="O179" s="3"/>
      <c r="P179" s="4">
        <v>42783</v>
      </c>
      <c r="Q179" s="3" t="s">
        <v>27</v>
      </c>
      <c r="R179" s="3" t="s">
        <v>28</v>
      </c>
      <c r="S179" s="3" t="s">
        <v>29</v>
      </c>
      <c r="T179" s="5">
        <v>8274.39</v>
      </c>
      <c r="U179" s="5">
        <v>3567.92</v>
      </c>
      <c r="V179" s="5">
        <v>3294.86</v>
      </c>
      <c r="W179" s="5">
        <v>1411.61</v>
      </c>
    </row>
    <row r="180" spans="1:23" ht="60.75">
      <c r="A180" s="3" t="s">
        <v>23</v>
      </c>
      <c r="B180" s="3" t="s">
        <v>24</v>
      </c>
      <c r="C180" s="3" t="s">
        <v>35</v>
      </c>
      <c r="D180" s="3" t="s">
        <v>43</v>
      </c>
      <c r="E180" s="3" t="s">
        <v>30</v>
      </c>
      <c r="F180" s="3" t="s">
        <v>124</v>
      </c>
      <c r="G180" s="3">
        <v>2016</v>
      </c>
      <c r="H180" s="3" t="str">
        <f>CONCATENATE("64240772018")</f>
        <v>64240772018</v>
      </c>
      <c r="I180" s="3" t="s">
        <v>25</v>
      </c>
      <c r="J180" s="3" t="s">
        <v>26</v>
      </c>
      <c r="K180" s="3" t="str">
        <f t="shared" si="8"/>
        <v/>
      </c>
      <c r="L180" s="3" t="str">
        <f t="shared" si="9"/>
        <v>11 11.2 4b</v>
      </c>
      <c r="M180" s="3" t="str">
        <f>CONCATENATE("MRNFNC46L05I287W")</f>
        <v>MRNFNC46L05I287W</v>
      </c>
      <c r="N180" s="3" t="s">
        <v>284</v>
      </c>
      <c r="O180" s="3"/>
      <c r="P180" s="4">
        <v>42783</v>
      </c>
      <c r="Q180" s="3" t="s">
        <v>27</v>
      </c>
      <c r="R180" s="3" t="s">
        <v>28</v>
      </c>
      <c r="S180" s="3" t="s">
        <v>29</v>
      </c>
      <c r="T180" s="5">
        <v>10779.96</v>
      </c>
      <c r="U180" s="5">
        <v>4648.32</v>
      </c>
      <c r="V180" s="5">
        <v>4292.58</v>
      </c>
      <c r="W180" s="5">
        <v>1839.06</v>
      </c>
    </row>
    <row r="181" spans="1:23" ht="60.75">
      <c r="A181" s="3" t="s">
        <v>23</v>
      </c>
      <c r="B181" s="3" t="s">
        <v>24</v>
      </c>
      <c r="C181" s="3" t="s">
        <v>35</v>
      </c>
      <c r="D181" s="3" t="s">
        <v>39</v>
      </c>
      <c r="E181" s="3" t="s">
        <v>30</v>
      </c>
      <c r="F181" s="3" t="s">
        <v>285</v>
      </c>
      <c r="G181" s="3">
        <v>2016</v>
      </c>
      <c r="H181" s="3" t="str">
        <f>CONCATENATE("64240589941")</f>
        <v>64240589941</v>
      </c>
      <c r="I181" s="3" t="s">
        <v>25</v>
      </c>
      <c r="J181" s="3" t="s">
        <v>26</v>
      </c>
      <c r="K181" s="3" t="str">
        <f t="shared" si="8"/>
        <v/>
      </c>
      <c r="L181" s="3" t="str">
        <f t="shared" si="9"/>
        <v>11 11.2 4b</v>
      </c>
      <c r="M181" s="3" t="str">
        <f>CONCATENATE("MNZCHR82L43I608M")</f>
        <v>MNZCHR82L43I608M</v>
      </c>
      <c r="N181" s="3" t="s">
        <v>286</v>
      </c>
      <c r="O181" s="3"/>
      <c r="P181" s="4">
        <v>42783</v>
      </c>
      <c r="Q181" s="3" t="s">
        <v>27</v>
      </c>
      <c r="R181" s="3" t="s">
        <v>28</v>
      </c>
      <c r="S181" s="3" t="s">
        <v>29</v>
      </c>
      <c r="T181" s="3">
        <v>602.6</v>
      </c>
      <c r="U181" s="3">
        <v>259.83999999999997</v>
      </c>
      <c r="V181" s="3">
        <v>239.96</v>
      </c>
      <c r="W181" s="3">
        <v>102.8</v>
      </c>
    </row>
    <row r="182" spans="1:23" ht="72.75">
      <c r="A182" s="3" t="s">
        <v>23</v>
      </c>
      <c r="B182" s="3" t="s">
        <v>24</v>
      </c>
      <c r="C182" s="3" t="s">
        <v>35</v>
      </c>
      <c r="D182" s="3" t="s">
        <v>36</v>
      </c>
      <c r="E182" s="3" t="s">
        <v>30</v>
      </c>
      <c r="F182" s="3" t="s">
        <v>37</v>
      </c>
      <c r="G182" s="3">
        <v>2016</v>
      </c>
      <c r="H182" s="3" t="str">
        <f>CONCATENATE("64240616942")</f>
        <v>64240616942</v>
      </c>
      <c r="I182" s="3" t="s">
        <v>25</v>
      </c>
      <c r="J182" s="3" t="s">
        <v>26</v>
      </c>
      <c r="K182" s="3" t="str">
        <f t="shared" si="8"/>
        <v/>
      </c>
      <c r="L182" s="3" t="str">
        <f t="shared" si="9"/>
        <v>11 11.2 4b</v>
      </c>
      <c r="M182" s="3" t="str">
        <f>CONCATENATE("GMNMRN73E12H769K")</f>
        <v>GMNMRN73E12H769K</v>
      </c>
      <c r="N182" s="3" t="s">
        <v>287</v>
      </c>
      <c r="O182" s="3"/>
      <c r="P182" s="4">
        <v>42783</v>
      </c>
      <c r="Q182" s="3" t="s">
        <v>27</v>
      </c>
      <c r="R182" s="3" t="s">
        <v>28</v>
      </c>
      <c r="S182" s="3" t="s">
        <v>29</v>
      </c>
      <c r="T182" s="5">
        <v>4043.74</v>
      </c>
      <c r="U182" s="5">
        <v>1743.66</v>
      </c>
      <c r="V182" s="5">
        <v>1610.22</v>
      </c>
      <c r="W182" s="3">
        <v>689.86</v>
      </c>
    </row>
    <row r="183" spans="1:23" ht="60.75">
      <c r="A183" s="3" t="s">
        <v>23</v>
      </c>
      <c r="B183" s="3" t="s">
        <v>24</v>
      </c>
      <c r="C183" s="3" t="s">
        <v>35</v>
      </c>
      <c r="D183" s="3" t="s">
        <v>48</v>
      </c>
      <c r="E183" s="3" t="s">
        <v>33</v>
      </c>
      <c r="F183" s="3" t="s">
        <v>212</v>
      </c>
      <c r="G183" s="3">
        <v>2016</v>
      </c>
      <c r="H183" s="3" t="str">
        <f>CONCATENATE("64240424388")</f>
        <v>64240424388</v>
      </c>
      <c r="I183" s="3" t="s">
        <v>31</v>
      </c>
      <c r="J183" s="3" t="s">
        <v>26</v>
      </c>
      <c r="K183" s="3" t="str">
        <f t="shared" si="8"/>
        <v/>
      </c>
      <c r="L183" s="3" t="str">
        <f t="shared" si="9"/>
        <v>11 11.2 4b</v>
      </c>
      <c r="M183" s="3" t="str">
        <f>CONCATENATE("NSNMLE25E19D628C")</f>
        <v>NSNMLE25E19D628C</v>
      </c>
      <c r="N183" s="3" t="s">
        <v>288</v>
      </c>
      <c r="O183" s="3"/>
      <c r="P183" s="4">
        <v>42783</v>
      </c>
      <c r="Q183" s="3" t="s">
        <v>27</v>
      </c>
      <c r="R183" s="3" t="s">
        <v>28</v>
      </c>
      <c r="S183" s="3" t="s">
        <v>29</v>
      </c>
      <c r="T183" s="5">
        <v>4559.3599999999997</v>
      </c>
      <c r="U183" s="5">
        <v>1966</v>
      </c>
      <c r="V183" s="5">
        <v>1815.54</v>
      </c>
      <c r="W183" s="3">
        <v>777.82</v>
      </c>
    </row>
    <row r="184" spans="1:23" ht="60.75">
      <c r="A184" s="3" t="s">
        <v>23</v>
      </c>
      <c r="B184" s="3" t="s">
        <v>24</v>
      </c>
      <c r="C184" s="3" t="s">
        <v>35</v>
      </c>
      <c r="D184" s="3" t="s">
        <v>48</v>
      </c>
      <c r="E184" s="3" t="s">
        <v>30</v>
      </c>
      <c r="F184" s="3" t="s">
        <v>289</v>
      </c>
      <c r="G184" s="3">
        <v>2016</v>
      </c>
      <c r="H184" s="3" t="str">
        <f>CONCATENATE("64240438305")</f>
        <v>64240438305</v>
      </c>
      <c r="I184" s="3" t="s">
        <v>31</v>
      </c>
      <c r="J184" s="3" t="s">
        <v>26</v>
      </c>
      <c r="K184" s="3" t="str">
        <f t="shared" si="8"/>
        <v/>
      </c>
      <c r="L184" s="3" t="str">
        <f>CONCATENATE("11 11.1 4b")</f>
        <v>11 11.1 4b</v>
      </c>
      <c r="M184" s="3" t="str">
        <f>CONCATENATE("SCDMSL64C03I156L")</f>
        <v>SCDMSL64C03I156L</v>
      </c>
      <c r="N184" s="3" t="s">
        <v>290</v>
      </c>
      <c r="O184" s="3"/>
      <c r="P184" s="4">
        <v>42783</v>
      </c>
      <c r="Q184" s="3" t="s">
        <v>27</v>
      </c>
      <c r="R184" s="3" t="s">
        <v>28</v>
      </c>
      <c r="S184" s="3" t="s">
        <v>29</v>
      </c>
      <c r="T184" s="5">
        <v>8580.2900000000009</v>
      </c>
      <c r="U184" s="5">
        <v>3699.82</v>
      </c>
      <c r="V184" s="5">
        <v>3416.67</v>
      </c>
      <c r="W184" s="5">
        <v>1463.8</v>
      </c>
    </row>
    <row r="185" spans="1:23" ht="36.75">
      <c r="A185" s="3" t="s">
        <v>23</v>
      </c>
      <c r="B185" s="3" t="s">
        <v>24</v>
      </c>
      <c r="C185" s="3" t="s">
        <v>35</v>
      </c>
      <c r="D185" s="3" t="s">
        <v>48</v>
      </c>
      <c r="E185" s="3" t="s">
        <v>30</v>
      </c>
      <c r="F185" s="3" t="s">
        <v>91</v>
      </c>
      <c r="G185" s="3">
        <v>2016</v>
      </c>
      <c r="H185" s="3" t="str">
        <f>CONCATENATE("64240319422")</f>
        <v>64240319422</v>
      </c>
      <c r="I185" s="3" t="s">
        <v>25</v>
      </c>
      <c r="J185" s="3" t="s">
        <v>26</v>
      </c>
      <c r="K185" s="3" t="str">
        <f t="shared" si="8"/>
        <v/>
      </c>
      <c r="L185" s="3" t="str">
        <f>CONCATENATE("11 11.1 4b")</f>
        <v>11 11.1 4b</v>
      </c>
      <c r="M185" s="3" t="str">
        <f>CONCATENATE("01635930439")</f>
        <v>01635930439</v>
      </c>
      <c r="N185" s="3" t="s">
        <v>291</v>
      </c>
      <c r="O185" s="3"/>
      <c r="P185" s="4">
        <v>42783</v>
      </c>
      <c r="Q185" s="3" t="s">
        <v>27</v>
      </c>
      <c r="R185" s="3" t="s">
        <v>28</v>
      </c>
      <c r="S185" s="3" t="s">
        <v>29</v>
      </c>
      <c r="T185" s="3">
        <v>357.27</v>
      </c>
      <c r="U185" s="3">
        <v>154.05000000000001</v>
      </c>
      <c r="V185" s="3">
        <v>142.26</v>
      </c>
      <c r="W185" s="3">
        <v>60.96</v>
      </c>
    </row>
    <row r="186" spans="1:23" ht="60.75">
      <c r="A186" s="3" t="s">
        <v>23</v>
      </c>
      <c r="B186" s="3" t="s">
        <v>24</v>
      </c>
      <c r="C186" s="3" t="s">
        <v>35</v>
      </c>
      <c r="D186" s="3" t="s">
        <v>36</v>
      </c>
      <c r="E186" s="3" t="s">
        <v>32</v>
      </c>
      <c r="F186" s="3" t="s">
        <v>65</v>
      </c>
      <c r="G186" s="3">
        <v>2016</v>
      </c>
      <c r="H186" s="3" t="str">
        <f>CONCATENATE("64240685574")</f>
        <v>64240685574</v>
      </c>
      <c r="I186" s="3" t="s">
        <v>25</v>
      </c>
      <c r="J186" s="3" t="s">
        <v>26</v>
      </c>
      <c r="K186" s="3" t="str">
        <f t="shared" si="8"/>
        <v/>
      </c>
      <c r="L186" s="3" t="str">
        <f>CONCATENATE("11 11.2 4b")</f>
        <v>11 11.2 4b</v>
      </c>
      <c r="M186" s="3" t="str">
        <f>CONCATENATE("LSSLSN57C14G478Q")</f>
        <v>LSSLSN57C14G478Q</v>
      </c>
      <c r="N186" s="3" t="s">
        <v>292</v>
      </c>
      <c r="O186" s="3"/>
      <c r="P186" s="4">
        <v>42783</v>
      </c>
      <c r="Q186" s="3" t="s">
        <v>27</v>
      </c>
      <c r="R186" s="3" t="s">
        <v>28</v>
      </c>
      <c r="S186" s="3" t="s">
        <v>29</v>
      </c>
      <c r="T186" s="5">
        <v>23367.37</v>
      </c>
      <c r="U186" s="5">
        <v>10076.01</v>
      </c>
      <c r="V186" s="5">
        <v>9304.89</v>
      </c>
      <c r="W186" s="5">
        <v>3986.47</v>
      </c>
    </row>
    <row r="187" spans="1:23" ht="60.75">
      <c r="A187" s="3" t="s">
        <v>23</v>
      </c>
      <c r="B187" s="3" t="s">
        <v>24</v>
      </c>
      <c r="C187" s="3" t="s">
        <v>35</v>
      </c>
      <c r="D187" s="3" t="s">
        <v>48</v>
      </c>
      <c r="E187" s="3" t="s">
        <v>30</v>
      </c>
      <c r="F187" s="3" t="s">
        <v>91</v>
      </c>
      <c r="G187" s="3">
        <v>2016</v>
      </c>
      <c r="H187" s="3" t="str">
        <f>CONCATENATE("64240315362")</f>
        <v>64240315362</v>
      </c>
      <c r="I187" s="3" t="s">
        <v>25</v>
      </c>
      <c r="J187" s="3" t="s">
        <v>26</v>
      </c>
      <c r="K187" s="3" t="str">
        <f t="shared" si="8"/>
        <v/>
      </c>
      <c r="L187" s="3" t="str">
        <f>CONCATENATE("11 11.2 4b")</f>
        <v>11 11.2 4b</v>
      </c>
      <c r="M187" s="3" t="str">
        <f>CONCATENATE("CCCFNC67P11I156P")</f>
        <v>CCCFNC67P11I156P</v>
      </c>
      <c r="N187" s="3" t="s">
        <v>293</v>
      </c>
      <c r="O187" s="3"/>
      <c r="P187" s="4">
        <v>42783</v>
      </c>
      <c r="Q187" s="3" t="s">
        <v>27</v>
      </c>
      <c r="R187" s="3" t="s">
        <v>28</v>
      </c>
      <c r="S187" s="3" t="s">
        <v>29</v>
      </c>
      <c r="T187" s="5">
        <v>2362.79</v>
      </c>
      <c r="U187" s="5">
        <v>1018.84</v>
      </c>
      <c r="V187" s="3">
        <v>940.86</v>
      </c>
      <c r="W187" s="3">
        <v>403.09</v>
      </c>
    </row>
    <row r="188" spans="1:23" ht="60.75">
      <c r="A188" s="3" t="s">
        <v>23</v>
      </c>
      <c r="B188" s="3" t="s">
        <v>24</v>
      </c>
      <c r="C188" s="3" t="s">
        <v>35</v>
      </c>
      <c r="D188" s="3" t="s">
        <v>39</v>
      </c>
      <c r="E188" s="3" t="s">
        <v>32</v>
      </c>
      <c r="F188" s="3" t="s">
        <v>69</v>
      </c>
      <c r="G188" s="3">
        <v>2016</v>
      </c>
      <c r="H188" s="3" t="str">
        <f>CONCATENATE("64240499117")</f>
        <v>64240499117</v>
      </c>
      <c r="I188" s="3" t="s">
        <v>25</v>
      </c>
      <c r="J188" s="3" t="s">
        <v>26</v>
      </c>
      <c r="K188" s="3" t="str">
        <f t="shared" si="8"/>
        <v/>
      </c>
      <c r="L188" s="3" t="str">
        <f>CONCATENATE("11 11.1 4b")</f>
        <v>11 11.1 4b</v>
      </c>
      <c r="M188" s="3" t="str">
        <f>CONCATENATE("PLZSFN80D45C615Z")</f>
        <v>PLZSFN80D45C615Z</v>
      </c>
      <c r="N188" s="3" t="s">
        <v>294</v>
      </c>
      <c r="O188" s="3"/>
      <c r="P188" s="4">
        <v>42783</v>
      </c>
      <c r="Q188" s="3" t="s">
        <v>27</v>
      </c>
      <c r="R188" s="3" t="s">
        <v>28</v>
      </c>
      <c r="S188" s="3" t="s">
        <v>29</v>
      </c>
      <c r="T188" s="5">
        <v>2348.5</v>
      </c>
      <c r="U188" s="5">
        <v>1012.67</v>
      </c>
      <c r="V188" s="3">
        <v>935.17</v>
      </c>
      <c r="W188" s="3">
        <v>400.66</v>
      </c>
    </row>
    <row r="189" spans="1:23" ht="60.75">
      <c r="A189" s="3" t="s">
        <v>23</v>
      </c>
      <c r="B189" s="3" t="s">
        <v>24</v>
      </c>
      <c r="C189" s="3" t="s">
        <v>35</v>
      </c>
      <c r="D189" s="3" t="s">
        <v>39</v>
      </c>
      <c r="E189" s="3" t="s">
        <v>30</v>
      </c>
      <c r="F189" s="3" t="s">
        <v>285</v>
      </c>
      <c r="G189" s="3">
        <v>2016</v>
      </c>
      <c r="H189" s="3" t="str">
        <f>CONCATENATE("64240584389")</f>
        <v>64240584389</v>
      </c>
      <c r="I189" s="3" t="s">
        <v>25</v>
      </c>
      <c r="J189" s="3" t="s">
        <v>26</v>
      </c>
      <c r="K189" s="3" t="str">
        <f t="shared" si="8"/>
        <v/>
      </c>
      <c r="L189" s="3" t="str">
        <f t="shared" ref="L189:L196" si="10">CONCATENATE("11 11.2 4b")</f>
        <v>11 11.2 4b</v>
      </c>
      <c r="M189" s="3" t="str">
        <f>CONCATENATE("MCCGBR57R07D007K")</f>
        <v>MCCGBR57R07D007K</v>
      </c>
      <c r="N189" s="3" t="s">
        <v>295</v>
      </c>
      <c r="O189" s="3"/>
      <c r="P189" s="4">
        <v>42783</v>
      </c>
      <c r="Q189" s="3" t="s">
        <v>27</v>
      </c>
      <c r="R189" s="3" t="s">
        <v>28</v>
      </c>
      <c r="S189" s="3" t="s">
        <v>29</v>
      </c>
      <c r="T189" s="5">
        <v>4368.3500000000004</v>
      </c>
      <c r="U189" s="5">
        <v>1883.63</v>
      </c>
      <c r="V189" s="5">
        <v>1739.48</v>
      </c>
      <c r="W189" s="3">
        <v>745.24</v>
      </c>
    </row>
    <row r="190" spans="1:23" ht="36.75">
      <c r="A190" s="3" t="s">
        <v>23</v>
      </c>
      <c r="B190" s="3" t="s">
        <v>24</v>
      </c>
      <c r="C190" s="3" t="s">
        <v>35</v>
      </c>
      <c r="D190" s="3" t="s">
        <v>43</v>
      </c>
      <c r="E190" s="3" t="s">
        <v>30</v>
      </c>
      <c r="F190" s="3" t="s">
        <v>104</v>
      </c>
      <c r="G190" s="3">
        <v>2016</v>
      </c>
      <c r="H190" s="3" t="str">
        <f>CONCATENATE("64240203469")</f>
        <v>64240203469</v>
      </c>
      <c r="I190" s="3" t="s">
        <v>25</v>
      </c>
      <c r="J190" s="3" t="s">
        <v>26</v>
      </c>
      <c r="K190" s="3" t="str">
        <f t="shared" si="8"/>
        <v/>
      </c>
      <c r="L190" s="3" t="str">
        <f t="shared" si="10"/>
        <v>11 11.2 4b</v>
      </c>
      <c r="M190" s="3" t="str">
        <f>CONCATENATE("01382170411")</f>
        <v>01382170411</v>
      </c>
      <c r="N190" s="3" t="s">
        <v>296</v>
      </c>
      <c r="O190" s="3"/>
      <c r="P190" s="4">
        <v>42783</v>
      </c>
      <c r="Q190" s="3" t="s">
        <v>27</v>
      </c>
      <c r="R190" s="3" t="s">
        <v>28</v>
      </c>
      <c r="S190" s="3" t="s">
        <v>29</v>
      </c>
      <c r="T190" s="5">
        <v>14987.48</v>
      </c>
      <c r="U190" s="5">
        <v>6462.6</v>
      </c>
      <c r="V190" s="5">
        <v>5968.01</v>
      </c>
      <c r="W190" s="5">
        <v>2556.87</v>
      </c>
    </row>
    <row r="191" spans="1:23" ht="60.75">
      <c r="A191" s="3" t="s">
        <v>23</v>
      </c>
      <c r="B191" s="3" t="s">
        <v>24</v>
      </c>
      <c r="C191" s="3" t="s">
        <v>35</v>
      </c>
      <c r="D191" s="3" t="s">
        <v>36</v>
      </c>
      <c r="E191" s="3" t="s">
        <v>42</v>
      </c>
      <c r="F191" s="3" t="s">
        <v>42</v>
      </c>
      <c r="G191" s="3">
        <v>2016</v>
      </c>
      <c r="H191" s="3" t="str">
        <f>CONCATENATE("64240071395")</f>
        <v>64240071395</v>
      </c>
      <c r="I191" s="3" t="s">
        <v>25</v>
      </c>
      <c r="J191" s="3" t="s">
        <v>26</v>
      </c>
      <c r="K191" s="3" t="str">
        <f t="shared" si="8"/>
        <v/>
      </c>
      <c r="L191" s="3" t="str">
        <f t="shared" si="10"/>
        <v>11 11.2 4b</v>
      </c>
      <c r="M191" s="3" t="str">
        <f>CONCATENATE("DNGMRZ61P18H321F")</f>
        <v>DNGMRZ61P18H321F</v>
      </c>
      <c r="N191" s="3" t="s">
        <v>297</v>
      </c>
      <c r="O191" s="3"/>
      <c r="P191" s="4">
        <v>42783</v>
      </c>
      <c r="Q191" s="3" t="s">
        <v>27</v>
      </c>
      <c r="R191" s="3" t="s">
        <v>28</v>
      </c>
      <c r="S191" s="3" t="s">
        <v>29</v>
      </c>
      <c r="T191" s="5">
        <v>4254.76</v>
      </c>
      <c r="U191" s="5">
        <v>1834.65</v>
      </c>
      <c r="V191" s="5">
        <v>1694.25</v>
      </c>
      <c r="W191" s="3">
        <v>725.86</v>
      </c>
    </row>
    <row r="192" spans="1:23" ht="60.75">
      <c r="A192" s="3" t="s">
        <v>23</v>
      </c>
      <c r="B192" s="3" t="s">
        <v>24</v>
      </c>
      <c r="C192" s="3" t="s">
        <v>35</v>
      </c>
      <c r="D192" s="3" t="s">
        <v>36</v>
      </c>
      <c r="E192" s="3" t="s">
        <v>32</v>
      </c>
      <c r="F192" s="3" t="s">
        <v>208</v>
      </c>
      <c r="G192" s="3">
        <v>2016</v>
      </c>
      <c r="H192" s="3" t="str">
        <f>CONCATENATE("64240236626")</f>
        <v>64240236626</v>
      </c>
      <c r="I192" s="3" t="s">
        <v>25</v>
      </c>
      <c r="J192" s="3" t="s">
        <v>26</v>
      </c>
      <c r="K192" s="3" t="str">
        <f t="shared" si="8"/>
        <v/>
      </c>
      <c r="L192" s="3" t="str">
        <f t="shared" si="10"/>
        <v>11 11.2 4b</v>
      </c>
      <c r="M192" s="3" t="str">
        <f>CONCATENATE("CTLRSL65L44D096D")</f>
        <v>CTLRSL65L44D096D</v>
      </c>
      <c r="N192" s="3" t="s">
        <v>298</v>
      </c>
      <c r="O192" s="3"/>
      <c r="P192" s="4">
        <v>42783</v>
      </c>
      <c r="Q192" s="3" t="s">
        <v>27</v>
      </c>
      <c r="R192" s="3" t="s">
        <v>28</v>
      </c>
      <c r="S192" s="3" t="s">
        <v>29</v>
      </c>
      <c r="T192" s="5">
        <v>2252.37</v>
      </c>
      <c r="U192" s="3">
        <v>971.22</v>
      </c>
      <c r="V192" s="3">
        <v>896.89</v>
      </c>
      <c r="W192" s="3">
        <v>384.26</v>
      </c>
    </row>
    <row r="193" spans="1:23" ht="60.75">
      <c r="A193" s="3" t="s">
        <v>23</v>
      </c>
      <c r="B193" s="3" t="s">
        <v>24</v>
      </c>
      <c r="C193" s="3" t="s">
        <v>35</v>
      </c>
      <c r="D193" s="3" t="s">
        <v>36</v>
      </c>
      <c r="E193" s="3" t="s">
        <v>32</v>
      </c>
      <c r="F193" s="3" t="s">
        <v>208</v>
      </c>
      <c r="G193" s="3">
        <v>2016</v>
      </c>
      <c r="H193" s="3" t="str">
        <f>CONCATENATE("64240237525")</f>
        <v>64240237525</v>
      </c>
      <c r="I193" s="3" t="s">
        <v>25</v>
      </c>
      <c r="J193" s="3" t="s">
        <v>26</v>
      </c>
      <c r="K193" s="3" t="str">
        <f t="shared" si="8"/>
        <v/>
      </c>
      <c r="L193" s="3" t="str">
        <f t="shared" si="10"/>
        <v>11 11.2 4b</v>
      </c>
      <c r="M193" s="3" t="str">
        <f>CONCATENATE("LCNSVN60H70G005X")</f>
        <v>LCNSVN60H70G005X</v>
      </c>
      <c r="N193" s="3" t="s">
        <v>299</v>
      </c>
      <c r="O193" s="3"/>
      <c r="P193" s="4">
        <v>42783</v>
      </c>
      <c r="Q193" s="3" t="s">
        <v>27</v>
      </c>
      <c r="R193" s="3" t="s">
        <v>28</v>
      </c>
      <c r="S193" s="3" t="s">
        <v>29</v>
      </c>
      <c r="T193" s="5">
        <v>2814.63</v>
      </c>
      <c r="U193" s="5">
        <v>1213.67</v>
      </c>
      <c r="V193" s="5">
        <v>1120.79</v>
      </c>
      <c r="W193" s="3">
        <v>480.17</v>
      </c>
    </row>
    <row r="194" spans="1:23" ht="60.75">
      <c r="A194" s="3" t="s">
        <v>23</v>
      </c>
      <c r="B194" s="3" t="s">
        <v>24</v>
      </c>
      <c r="C194" s="3" t="s">
        <v>35</v>
      </c>
      <c r="D194" s="3" t="s">
        <v>39</v>
      </c>
      <c r="E194" s="3" t="s">
        <v>34</v>
      </c>
      <c r="F194" s="3" t="s">
        <v>170</v>
      </c>
      <c r="G194" s="3">
        <v>2016</v>
      </c>
      <c r="H194" s="3" t="str">
        <f>CONCATENATE("64240606844")</f>
        <v>64240606844</v>
      </c>
      <c r="I194" s="3" t="s">
        <v>25</v>
      </c>
      <c r="J194" s="3" t="s">
        <v>26</v>
      </c>
      <c r="K194" s="3" t="str">
        <f t="shared" si="8"/>
        <v/>
      </c>
      <c r="L194" s="3" t="str">
        <f t="shared" si="10"/>
        <v>11 11.2 4b</v>
      </c>
      <c r="M194" s="3" t="str">
        <f>CONCATENATE("BLZBBR72L59G482Z")</f>
        <v>BLZBBR72L59G482Z</v>
      </c>
      <c r="N194" s="3" t="s">
        <v>300</v>
      </c>
      <c r="O194" s="3"/>
      <c r="P194" s="4">
        <v>42783</v>
      </c>
      <c r="Q194" s="3" t="s">
        <v>27</v>
      </c>
      <c r="R194" s="3" t="s">
        <v>28</v>
      </c>
      <c r="S194" s="3" t="s">
        <v>29</v>
      </c>
      <c r="T194" s="5">
        <v>10000.1</v>
      </c>
      <c r="U194" s="5">
        <v>4312.04</v>
      </c>
      <c r="V194" s="5">
        <v>3982.04</v>
      </c>
      <c r="W194" s="5">
        <v>1706.02</v>
      </c>
    </row>
    <row r="195" spans="1:23" ht="60.75">
      <c r="A195" s="3" t="s">
        <v>23</v>
      </c>
      <c r="B195" s="3" t="s">
        <v>24</v>
      </c>
      <c r="C195" s="3" t="s">
        <v>35</v>
      </c>
      <c r="D195" s="3" t="s">
        <v>36</v>
      </c>
      <c r="E195" s="3" t="s">
        <v>42</v>
      </c>
      <c r="F195" s="3" t="s">
        <v>42</v>
      </c>
      <c r="G195" s="3">
        <v>2016</v>
      </c>
      <c r="H195" s="3" t="str">
        <f>CONCATENATE("64240096582")</f>
        <v>64240096582</v>
      </c>
      <c r="I195" s="3" t="s">
        <v>25</v>
      </c>
      <c r="J195" s="3" t="s">
        <v>26</v>
      </c>
      <c r="K195" s="3" t="str">
        <f t="shared" si="8"/>
        <v/>
      </c>
      <c r="L195" s="3" t="str">
        <f t="shared" si="10"/>
        <v>11 11.2 4b</v>
      </c>
      <c r="M195" s="3" t="str">
        <f>CONCATENATE("VGNCRL47S02H321C")</f>
        <v>VGNCRL47S02H321C</v>
      </c>
      <c r="N195" s="3" t="s">
        <v>301</v>
      </c>
      <c r="O195" s="3"/>
      <c r="P195" s="4">
        <v>42783</v>
      </c>
      <c r="Q195" s="3" t="s">
        <v>27</v>
      </c>
      <c r="R195" s="3" t="s">
        <v>28</v>
      </c>
      <c r="S195" s="3" t="s">
        <v>29</v>
      </c>
      <c r="T195" s="3">
        <v>916.86</v>
      </c>
      <c r="U195" s="3">
        <v>395.35</v>
      </c>
      <c r="V195" s="3">
        <v>365.09</v>
      </c>
      <c r="W195" s="3">
        <v>156.41999999999999</v>
      </c>
    </row>
    <row r="196" spans="1:23" ht="60.75">
      <c r="A196" s="3" t="s">
        <v>23</v>
      </c>
      <c r="B196" s="3" t="s">
        <v>24</v>
      </c>
      <c r="C196" s="3" t="s">
        <v>35</v>
      </c>
      <c r="D196" s="3" t="s">
        <v>36</v>
      </c>
      <c r="E196" s="3" t="s">
        <v>33</v>
      </c>
      <c r="F196" s="3" t="s">
        <v>89</v>
      </c>
      <c r="G196" s="3">
        <v>2016</v>
      </c>
      <c r="H196" s="3" t="str">
        <f>CONCATENATE("64240603593")</f>
        <v>64240603593</v>
      </c>
      <c r="I196" s="3" t="s">
        <v>25</v>
      </c>
      <c r="J196" s="3" t="s">
        <v>26</v>
      </c>
      <c r="K196" s="3" t="str">
        <f t="shared" si="8"/>
        <v/>
      </c>
      <c r="L196" s="3" t="str">
        <f t="shared" si="10"/>
        <v>11 11.2 4b</v>
      </c>
      <c r="M196" s="3" t="str">
        <f>CONCATENATE("VLLMLG59S46C321H")</f>
        <v>VLLMLG59S46C321H</v>
      </c>
      <c r="N196" s="3" t="s">
        <v>302</v>
      </c>
      <c r="O196" s="3"/>
      <c r="P196" s="4">
        <v>42783</v>
      </c>
      <c r="Q196" s="3" t="s">
        <v>27</v>
      </c>
      <c r="R196" s="3" t="s">
        <v>28</v>
      </c>
      <c r="S196" s="3" t="s">
        <v>29</v>
      </c>
      <c r="T196" s="5">
        <v>3317.95</v>
      </c>
      <c r="U196" s="5">
        <v>1430.7</v>
      </c>
      <c r="V196" s="5">
        <v>1321.21</v>
      </c>
      <c r="W196" s="3">
        <v>566.04</v>
      </c>
    </row>
    <row r="197" spans="1:23" ht="60.75">
      <c r="A197" s="3" t="s">
        <v>23</v>
      </c>
      <c r="B197" s="3" t="s">
        <v>24</v>
      </c>
      <c r="C197" s="3" t="s">
        <v>35</v>
      </c>
      <c r="D197" s="3" t="s">
        <v>43</v>
      </c>
      <c r="E197" s="3" t="s">
        <v>30</v>
      </c>
      <c r="F197" s="3" t="s">
        <v>76</v>
      </c>
      <c r="G197" s="3">
        <v>2016</v>
      </c>
      <c r="H197" s="3" t="str">
        <f>CONCATENATE("64210149270")</f>
        <v>64210149270</v>
      </c>
      <c r="I197" s="3" t="s">
        <v>25</v>
      </c>
      <c r="J197" s="3" t="s">
        <v>26</v>
      </c>
      <c r="K197" s="3" t="str">
        <f t="shared" si="8"/>
        <v/>
      </c>
      <c r="L197" s="3" t="str">
        <f>CONCATENATE("13 13.1 4a")</f>
        <v>13 13.1 4a</v>
      </c>
      <c r="M197" s="3" t="str">
        <f>CONCATENATE("RSSDVD73E28E785Q")</f>
        <v>RSSDVD73E28E785Q</v>
      </c>
      <c r="N197" s="3" t="s">
        <v>303</v>
      </c>
      <c r="O197" s="3"/>
      <c r="P197" s="4">
        <v>42783</v>
      </c>
      <c r="Q197" s="3" t="s">
        <v>27</v>
      </c>
      <c r="R197" s="3" t="s">
        <v>28</v>
      </c>
      <c r="S197" s="3" t="s">
        <v>29</v>
      </c>
      <c r="T197" s="5">
        <v>3814.76</v>
      </c>
      <c r="U197" s="5">
        <v>1644.92</v>
      </c>
      <c r="V197" s="5">
        <v>1519.04</v>
      </c>
      <c r="W197" s="3">
        <v>650.79999999999995</v>
      </c>
    </row>
    <row r="198" spans="1:23" ht="72.75">
      <c r="A198" s="3" t="s">
        <v>23</v>
      </c>
      <c r="B198" s="3" t="s">
        <v>24</v>
      </c>
      <c r="C198" s="3" t="s">
        <v>35</v>
      </c>
      <c r="D198" s="3" t="s">
        <v>43</v>
      </c>
      <c r="E198" s="3" t="s">
        <v>30</v>
      </c>
      <c r="F198" s="3" t="s">
        <v>131</v>
      </c>
      <c r="G198" s="3">
        <v>2016</v>
      </c>
      <c r="H198" s="3" t="str">
        <f>CONCATENATE("64240256095")</f>
        <v>64240256095</v>
      </c>
      <c r="I198" s="3" t="s">
        <v>25</v>
      </c>
      <c r="J198" s="3" t="s">
        <v>26</v>
      </c>
      <c r="K198" s="3" t="str">
        <f t="shared" si="8"/>
        <v/>
      </c>
      <c r="L198" s="3" t="str">
        <f>CONCATENATE("11 11.1 4b")</f>
        <v>11 11.1 4b</v>
      </c>
      <c r="M198" s="3" t="str">
        <f>CONCATENATE("GRSMGR48A62D749G")</f>
        <v>GRSMGR48A62D749G</v>
      </c>
      <c r="N198" s="3" t="s">
        <v>304</v>
      </c>
      <c r="O198" s="3"/>
      <c r="P198" s="4">
        <v>42783</v>
      </c>
      <c r="Q198" s="3" t="s">
        <v>27</v>
      </c>
      <c r="R198" s="3" t="s">
        <v>28</v>
      </c>
      <c r="S198" s="3" t="s">
        <v>29</v>
      </c>
      <c r="T198" s="5">
        <v>1248.3900000000001</v>
      </c>
      <c r="U198" s="3">
        <v>538.30999999999995</v>
      </c>
      <c r="V198" s="3">
        <v>497.11</v>
      </c>
      <c r="W198" s="3">
        <v>212.97</v>
      </c>
    </row>
    <row r="199" spans="1:23" ht="60.75">
      <c r="A199" s="3" t="s">
        <v>23</v>
      </c>
      <c r="B199" s="3" t="s">
        <v>24</v>
      </c>
      <c r="C199" s="3" t="s">
        <v>35</v>
      </c>
      <c r="D199" s="3" t="s">
        <v>36</v>
      </c>
      <c r="E199" s="3" t="s">
        <v>32</v>
      </c>
      <c r="F199" s="3" t="s">
        <v>179</v>
      </c>
      <c r="G199" s="3">
        <v>2016</v>
      </c>
      <c r="H199" s="3" t="str">
        <f>CONCATENATE("64240609764")</f>
        <v>64240609764</v>
      </c>
      <c r="I199" s="3" t="s">
        <v>31</v>
      </c>
      <c r="J199" s="3" t="s">
        <v>26</v>
      </c>
      <c r="K199" s="3" t="str">
        <f t="shared" si="8"/>
        <v/>
      </c>
      <c r="L199" s="3" t="str">
        <f>CONCATENATE("11 11.2 4b")</f>
        <v>11 11.2 4b</v>
      </c>
      <c r="M199" s="3" t="str">
        <f>CONCATENATE("NTTVSS80S70H769M")</f>
        <v>NTTVSS80S70H769M</v>
      </c>
      <c r="N199" s="3" t="s">
        <v>305</v>
      </c>
      <c r="O199" s="3"/>
      <c r="P199" s="4">
        <v>42783</v>
      </c>
      <c r="Q199" s="3" t="s">
        <v>27</v>
      </c>
      <c r="R199" s="3" t="s">
        <v>28</v>
      </c>
      <c r="S199" s="3" t="s">
        <v>29</v>
      </c>
      <c r="T199" s="5">
        <v>2051.69</v>
      </c>
      <c r="U199" s="3">
        <v>884.69</v>
      </c>
      <c r="V199" s="3">
        <v>816.98</v>
      </c>
      <c r="W199" s="3">
        <v>350.02</v>
      </c>
    </row>
    <row r="200" spans="1:23" ht="36.75">
      <c r="A200" s="3" t="s">
        <v>23</v>
      </c>
      <c r="B200" s="3" t="s">
        <v>24</v>
      </c>
      <c r="C200" s="3" t="s">
        <v>35</v>
      </c>
      <c r="D200" s="3" t="s">
        <v>48</v>
      </c>
      <c r="E200" s="3" t="s">
        <v>49</v>
      </c>
      <c r="F200" s="3" t="s">
        <v>50</v>
      </c>
      <c r="G200" s="3">
        <v>2016</v>
      </c>
      <c r="H200" s="3" t="str">
        <f>CONCATENATE("64240899332")</f>
        <v>64240899332</v>
      </c>
      <c r="I200" s="3" t="s">
        <v>25</v>
      </c>
      <c r="J200" s="3" t="s">
        <v>26</v>
      </c>
      <c r="K200" s="3" t="str">
        <f t="shared" ref="K200:K263" si="11">CONCATENATE("")</f>
        <v/>
      </c>
      <c r="L200" s="3" t="str">
        <f>CONCATENATE("11 11.2 4b")</f>
        <v>11 11.2 4b</v>
      </c>
      <c r="M200" s="3" t="str">
        <f>CONCATENATE("01702340439")</f>
        <v>01702340439</v>
      </c>
      <c r="N200" s="3" t="s">
        <v>306</v>
      </c>
      <c r="O200" s="3"/>
      <c r="P200" s="4">
        <v>42783</v>
      </c>
      <c r="Q200" s="3" t="s">
        <v>27</v>
      </c>
      <c r="R200" s="3" t="s">
        <v>28</v>
      </c>
      <c r="S200" s="3" t="s">
        <v>29</v>
      </c>
      <c r="T200" s="5">
        <v>1230.1099999999999</v>
      </c>
      <c r="U200" s="3">
        <v>530.41999999999996</v>
      </c>
      <c r="V200" s="3">
        <v>489.83</v>
      </c>
      <c r="W200" s="3">
        <v>209.86</v>
      </c>
    </row>
    <row r="201" spans="1:23" ht="60.75">
      <c r="A201" s="3" t="s">
        <v>23</v>
      </c>
      <c r="B201" s="3" t="s">
        <v>24</v>
      </c>
      <c r="C201" s="3" t="s">
        <v>35</v>
      </c>
      <c r="D201" s="3" t="s">
        <v>48</v>
      </c>
      <c r="E201" s="3" t="s">
        <v>49</v>
      </c>
      <c r="F201" s="3" t="s">
        <v>50</v>
      </c>
      <c r="G201" s="3">
        <v>2016</v>
      </c>
      <c r="H201" s="3" t="str">
        <f>CONCATENATE("64240491775")</f>
        <v>64240491775</v>
      </c>
      <c r="I201" s="3" t="s">
        <v>31</v>
      </c>
      <c r="J201" s="3" t="s">
        <v>26</v>
      </c>
      <c r="K201" s="3" t="str">
        <f t="shared" si="11"/>
        <v/>
      </c>
      <c r="L201" s="3" t="str">
        <f>CONCATENATE("11 11.1 4b")</f>
        <v>11 11.1 4b</v>
      </c>
      <c r="M201" s="3" t="str">
        <f>CONCATENATE("DBRLNT86H61Z129G")</f>
        <v>DBRLNT86H61Z129G</v>
      </c>
      <c r="N201" s="3" t="s">
        <v>307</v>
      </c>
      <c r="O201" s="3"/>
      <c r="P201" s="4">
        <v>42783</v>
      </c>
      <c r="Q201" s="3" t="s">
        <v>27</v>
      </c>
      <c r="R201" s="3" t="s">
        <v>28</v>
      </c>
      <c r="S201" s="3" t="s">
        <v>29</v>
      </c>
      <c r="T201" s="5">
        <v>16426.12</v>
      </c>
      <c r="U201" s="5">
        <v>7082.94</v>
      </c>
      <c r="V201" s="5">
        <v>6540.88</v>
      </c>
      <c r="W201" s="5">
        <v>2802.3</v>
      </c>
    </row>
    <row r="202" spans="1:23" ht="60.75">
      <c r="A202" s="3" t="s">
        <v>23</v>
      </c>
      <c r="B202" s="3" t="s">
        <v>24</v>
      </c>
      <c r="C202" s="3" t="s">
        <v>35</v>
      </c>
      <c r="D202" s="3" t="s">
        <v>39</v>
      </c>
      <c r="E202" s="3" t="s">
        <v>34</v>
      </c>
      <c r="F202" s="3" t="s">
        <v>170</v>
      </c>
      <c r="G202" s="3">
        <v>2016</v>
      </c>
      <c r="H202" s="3" t="str">
        <f>CONCATENATE("64240406740")</f>
        <v>64240406740</v>
      </c>
      <c r="I202" s="3" t="s">
        <v>25</v>
      </c>
      <c r="J202" s="3" t="s">
        <v>26</v>
      </c>
      <c r="K202" s="3" t="str">
        <f t="shared" si="11"/>
        <v/>
      </c>
      <c r="L202" s="3" t="str">
        <f>CONCATENATE("11 11.1 4b")</f>
        <v>11 11.1 4b</v>
      </c>
      <c r="M202" s="3" t="str">
        <f>CONCATENATE("FSSMHL80L21D451V")</f>
        <v>FSSMHL80L21D451V</v>
      </c>
      <c r="N202" s="3" t="s">
        <v>308</v>
      </c>
      <c r="O202" s="3"/>
      <c r="P202" s="4">
        <v>42783</v>
      </c>
      <c r="Q202" s="3" t="s">
        <v>27</v>
      </c>
      <c r="R202" s="3" t="s">
        <v>28</v>
      </c>
      <c r="S202" s="3" t="s">
        <v>29</v>
      </c>
      <c r="T202" s="5">
        <v>1546.39</v>
      </c>
      <c r="U202" s="3">
        <v>666.8</v>
      </c>
      <c r="V202" s="3">
        <v>615.77</v>
      </c>
      <c r="W202" s="3">
        <v>263.82</v>
      </c>
    </row>
    <row r="203" spans="1:23" ht="60.75">
      <c r="A203" s="3" t="s">
        <v>23</v>
      </c>
      <c r="B203" s="3" t="s">
        <v>24</v>
      </c>
      <c r="C203" s="3" t="s">
        <v>35</v>
      </c>
      <c r="D203" s="3" t="s">
        <v>43</v>
      </c>
      <c r="E203" s="3" t="s">
        <v>100</v>
      </c>
      <c r="F203" s="3" t="s">
        <v>101</v>
      </c>
      <c r="G203" s="3">
        <v>2016</v>
      </c>
      <c r="H203" s="3" t="str">
        <f>CONCATENATE("64240630018")</f>
        <v>64240630018</v>
      </c>
      <c r="I203" s="3" t="s">
        <v>31</v>
      </c>
      <c r="J203" s="3" t="s">
        <v>26</v>
      </c>
      <c r="K203" s="3" t="str">
        <f t="shared" si="11"/>
        <v/>
      </c>
      <c r="L203" s="3" t="str">
        <f t="shared" ref="L203:L210" si="12">CONCATENATE("11 11.2 4b")</f>
        <v>11 11.2 4b</v>
      </c>
      <c r="M203" s="3" t="str">
        <f>CONCATENATE("PCAFLV74E25H294H")</f>
        <v>PCAFLV74E25H294H</v>
      </c>
      <c r="N203" s="3" t="s">
        <v>309</v>
      </c>
      <c r="O203" s="3"/>
      <c r="P203" s="4">
        <v>42783</v>
      </c>
      <c r="Q203" s="3" t="s">
        <v>27</v>
      </c>
      <c r="R203" s="3" t="s">
        <v>28</v>
      </c>
      <c r="S203" s="3" t="s">
        <v>29</v>
      </c>
      <c r="T203" s="5">
        <v>2984.72</v>
      </c>
      <c r="U203" s="5">
        <v>1287.01</v>
      </c>
      <c r="V203" s="5">
        <v>1188.52</v>
      </c>
      <c r="W203" s="3">
        <v>509.19</v>
      </c>
    </row>
    <row r="204" spans="1:23" ht="60.75">
      <c r="A204" s="3" t="s">
        <v>23</v>
      </c>
      <c r="B204" s="3" t="s">
        <v>24</v>
      </c>
      <c r="C204" s="3" t="s">
        <v>35</v>
      </c>
      <c r="D204" s="3" t="s">
        <v>39</v>
      </c>
      <c r="E204" s="3" t="s">
        <v>30</v>
      </c>
      <c r="F204" s="3" t="s">
        <v>84</v>
      </c>
      <c r="G204" s="3">
        <v>2016</v>
      </c>
      <c r="H204" s="3" t="str">
        <f>CONCATENATE("64240638078")</f>
        <v>64240638078</v>
      </c>
      <c r="I204" s="3" t="s">
        <v>25</v>
      </c>
      <c r="J204" s="3" t="s">
        <v>26</v>
      </c>
      <c r="K204" s="3" t="str">
        <f t="shared" si="11"/>
        <v/>
      </c>
      <c r="L204" s="3" t="str">
        <f t="shared" si="12"/>
        <v>11 11.2 4b</v>
      </c>
      <c r="M204" s="3" t="str">
        <f>CONCATENATE("TRTPTR45S03G131D")</f>
        <v>TRTPTR45S03G131D</v>
      </c>
      <c r="N204" s="3" t="s">
        <v>310</v>
      </c>
      <c r="O204" s="3"/>
      <c r="P204" s="4">
        <v>42783</v>
      </c>
      <c r="Q204" s="3" t="s">
        <v>27</v>
      </c>
      <c r="R204" s="3" t="s">
        <v>28</v>
      </c>
      <c r="S204" s="3" t="s">
        <v>29</v>
      </c>
      <c r="T204" s="3">
        <v>276.43</v>
      </c>
      <c r="U204" s="3">
        <v>119.2</v>
      </c>
      <c r="V204" s="3">
        <v>110.07</v>
      </c>
      <c r="W204" s="3">
        <v>47.16</v>
      </c>
    </row>
    <row r="205" spans="1:23" ht="60.75">
      <c r="A205" s="3" t="s">
        <v>23</v>
      </c>
      <c r="B205" s="3" t="s">
        <v>24</v>
      </c>
      <c r="C205" s="3" t="s">
        <v>35</v>
      </c>
      <c r="D205" s="3" t="s">
        <v>36</v>
      </c>
      <c r="E205" s="3" t="s">
        <v>34</v>
      </c>
      <c r="F205" s="3" t="s">
        <v>273</v>
      </c>
      <c r="G205" s="3">
        <v>2016</v>
      </c>
      <c r="H205" s="3" t="str">
        <f>CONCATENATE("64240382834")</f>
        <v>64240382834</v>
      </c>
      <c r="I205" s="3" t="s">
        <v>25</v>
      </c>
      <c r="J205" s="3" t="s">
        <v>26</v>
      </c>
      <c r="K205" s="3" t="str">
        <f t="shared" si="11"/>
        <v/>
      </c>
      <c r="L205" s="3" t="str">
        <f t="shared" si="12"/>
        <v>11 11.2 4b</v>
      </c>
      <c r="M205" s="3" t="str">
        <f>CONCATENATE("MSCGNN30T05C331W")</f>
        <v>MSCGNN30T05C331W</v>
      </c>
      <c r="N205" s="3" t="s">
        <v>311</v>
      </c>
      <c r="O205" s="3"/>
      <c r="P205" s="4">
        <v>42783</v>
      </c>
      <c r="Q205" s="3" t="s">
        <v>27</v>
      </c>
      <c r="R205" s="3" t="s">
        <v>28</v>
      </c>
      <c r="S205" s="3" t="s">
        <v>29</v>
      </c>
      <c r="T205" s="5">
        <v>9125.3799999999992</v>
      </c>
      <c r="U205" s="5">
        <v>3934.86</v>
      </c>
      <c r="V205" s="5">
        <v>3633.73</v>
      </c>
      <c r="W205" s="5">
        <v>1556.79</v>
      </c>
    </row>
    <row r="206" spans="1:23" ht="60.75">
      <c r="A206" s="3" t="s">
        <v>23</v>
      </c>
      <c r="B206" s="3" t="s">
        <v>24</v>
      </c>
      <c r="C206" s="3" t="s">
        <v>35</v>
      </c>
      <c r="D206" s="3" t="s">
        <v>39</v>
      </c>
      <c r="E206" s="3" t="s">
        <v>30</v>
      </c>
      <c r="F206" s="3" t="s">
        <v>196</v>
      </c>
      <c r="G206" s="3">
        <v>2016</v>
      </c>
      <c r="H206" s="3" t="str">
        <f>CONCATENATE("64240692182")</f>
        <v>64240692182</v>
      </c>
      <c r="I206" s="3" t="s">
        <v>25</v>
      </c>
      <c r="J206" s="3" t="s">
        <v>26</v>
      </c>
      <c r="K206" s="3" t="str">
        <f t="shared" si="11"/>
        <v/>
      </c>
      <c r="L206" s="3" t="str">
        <f t="shared" si="12"/>
        <v>11 11.2 4b</v>
      </c>
      <c r="M206" s="3" t="str">
        <f>CONCATENATE("GNNMRS54C62E388B")</f>
        <v>GNNMRS54C62E388B</v>
      </c>
      <c r="N206" s="3" t="s">
        <v>312</v>
      </c>
      <c r="O206" s="3"/>
      <c r="P206" s="4">
        <v>42783</v>
      </c>
      <c r="Q206" s="3" t="s">
        <v>27</v>
      </c>
      <c r="R206" s="3" t="s">
        <v>28</v>
      </c>
      <c r="S206" s="3" t="s">
        <v>29</v>
      </c>
      <c r="T206" s="3">
        <v>630.92999999999995</v>
      </c>
      <c r="U206" s="3">
        <v>272.06</v>
      </c>
      <c r="V206" s="3">
        <v>251.24</v>
      </c>
      <c r="W206" s="3">
        <v>107.63</v>
      </c>
    </row>
    <row r="207" spans="1:23" ht="60.75">
      <c r="A207" s="3" t="s">
        <v>23</v>
      </c>
      <c r="B207" s="3" t="s">
        <v>24</v>
      </c>
      <c r="C207" s="3" t="s">
        <v>35</v>
      </c>
      <c r="D207" s="3" t="s">
        <v>36</v>
      </c>
      <c r="E207" s="3" t="s">
        <v>42</v>
      </c>
      <c r="F207" s="3" t="s">
        <v>42</v>
      </c>
      <c r="G207" s="3">
        <v>2016</v>
      </c>
      <c r="H207" s="3" t="str">
        <f>CONCATENATE("64240325023")</f>
        <v>64240325023</v>
      </c>
      <c r="I207" s="3" t="s">
        <v>25</v>
      </c>
      <c r="J207" s="3" t="s">
        <v>26</v>
      </c>
      <c r="K207" s="3" t="str">
        <f t="shared" si="11"/>
        <v/>
      </c>
      <c r="L207" s="3" t="str">
        <f t="shared" si="12"/>
        <v>11 11.2 4b</v>
      </c>
      <c r="M207" s="3" t="str">
        <f>CONCATENATE("CRLTZN71D03H769I")</f>
        <v>CRLTZN71D03H769I</v>
      </c>
      <c r="N207" s="3" t="s">
        <v>313</v>
      </c>
      <c r="O207" s="3"/>
      <c r="P207" s="4">
        <v>42783</v>
      </c>
      <c r="Q207" s="3" t="s">
        <v>27</v>
      </c>
      <c r="R207" s="3" t="s">
        <v>28</v>
      </c>
      <c r="S207" s="3" t="s">
        <v>29</v>
      </c>
      <c r="T207" s="3">
        <v>526.96</v>
      </c>
      <c r="U207" s="3">
        <v>227.23</v>
      </c>
      <c r="V207" s="3">
        <v>209.84</v>
      </c>
      <c r="W207" s="3">
        <v>89.89</v>
      </c>
    </row>
    <row r="208" spans="1:23" ht="60.75">
      <c r="A208" s="3" t="s">
        <v>23</v>
      </c>
      <c r="B208" s="3" t="s">
        <v>24</v>
      </c>
      <c r="C208" s="3" t="s">
        <v>35</v>
      </c>
      <c r="D208" s="3" t="s">
        <v>43</v>
      </c>
      <c r="E208" s="3" t="s">
        <v>34</v>
      </c>
      <c r="F208" s="3" t="s">
        <v>146</v>
      </c>
      <c r="G208" s="3">
        <v>2016</v>
      </c>
      <c r="H208" s="3" t="str">
        <f>CONCATENATE("64240424255")</f>
        <v>64240424255</v>
      </c>
      <c r="I208" s="3" t="s">
        <v>25</v>
      </c>
      <c r="J208" s="3" t="s">
        <v>26</v>
      </c>
      <c r="K208" s="3" t="str">
        <f t="shared" si="11"/>
        <v/>
      </c>
      <c r="L208" s="3" t="str">
        <f t="shared" si="12"/>
        <v>11 11.2 4b</v>
      </c>
      <c r="M208" s="3" t="str">
        <f>CONCATENATE("CLDCRS75H21G479F")</f>
        <v>CLDCRS75H21G479F</v>
      </c>
      <c r="N208" s="3" t="s">
        <v>314</v>
      </c>
      <c r="O208" s="3"/>
      <c r="P208" s="4">
        <v>42783</v>
      </c>
      <c r="Q208" s="3" t="s">
        <v>27</v>
      </c>
      <c r="R208" s="3" t="s">
        <v>28</v>
      </c>
      <c r="S208" s="3" t="s">
        <v>29</v>
      </c>
      <c r="T208" s="3">
        <v>702.83</v>
      </c>
      <c r="U208" s="3">
        <v>303.06</v>
      </c>
      <c r="V208" s="3">
        <v>279.87</v>
      </c>
      <c r="W208" s="3">
        <v>119.9</v>
      </c>
    </row>
    <row r="209" spans="1:23" ht="60.75">
      <c r="A209" s="3" t="s">
        <v>23</v>
      </c>
      <c r="B209" s="3" t="s">
        <v>24</v>
      </c>
      <c r="C209" s="3" t="s">
        <v>35</v>
      </c>
      <c r="D209" s="3" t="s">
        <v>48</v>
      </c>
      <c r="E209" s="3" t="s">
        <v>30</v>
      </c>
      <c r="F209" s="3" t="s">
        <v>157</v>
      </c>
      <c r="G209" s="3">
        <v>2016</v>
      </c>
      <c r="H209" s="3" t="str">
        <f>CONCATENATE("64240302410")</f>
        <v>64240302410</v>
      </c>
      <c r="I209" s="3" t="s">
        <v>25</v>
      </c>
      <c r="J209" s="3" t="s">
        <v>26</v>
      </c>
      <c r="K209" s="3" t="str">
        <f t="shared" si="11"/>
        <v/>
      </c>
      <c r="L209" s="3" t="str">
        <f t="shared" si="12"/>
        <v>11 11.2 4b</v>
      </c>
      <c r="M209" s="3" t="str">
        <f>CONCATENATE("CSLRLB60R48H876N")</f>
        <v>CSLRLB60R48H876N</v>
      </c>
      <c r="N209" s="3" t="s">
        <v>315</v>
      </c>
      <c r="O209" s="3"/>
      <c r="P209" s="4">
        <v>42783</v>
      </c>
      <c r="Q209" s="3" t="s">
        <v>27</v>
      </c>
      <c r="R209" s="3" t="s">
        <v>28</v>
      </c>
      <c r="S209" s="3" t="s">
        <v>29</v>
      </c>
      <c r="T209" s="5">
        <v>3197.5</v>
      </c>
      <c r="U209" s="5">
        <v>1378.76</v>
      </c>
      <c r="V209" s="5">
        <v>1273.24</v>
      </c>
      <c r="W209" s="3">
        <v>545.5</v>
      </c>
    </row>
    <row r="210" spans="1:23" ht="36.75">
      <c r="A210" s="3" t="s">
        <v>23</v>
      </c>
      <c r="B210" s="3" t="s">
        <v>24</v>
      </c>
      <c r="C210" s="3" t="s">
        <v>35</v>
      </c>
      <c r="D210" s="3" t="s">
        <v>43</v>
      </c>
      <c r="E210" s="3" t="s">
        <v>34</v>
      </c>
      <c r="F210" s="3" t="s">
        <v>146</v>
      </c>
      <c r="G210" s="3">
        <v>2016</v>
      </c>
      <c r="H210" s="3" t="str">
        <f>CONCATENATE("64240516480")</f>
        <v>64240516480</v>
      </c>
      <c r="I210" s="3" t="s">
        <v>25</v>
      </c>
      <c r="J210" s="3" t="s">
        <v>26</v>
      </c>
      <c r="K210" s="3" t="str">
        <f t="shared" si="11"/>
        <v/>
      </c>
      <c r="L210" s="3" t="str">
        <f t="shared" si="12"/>
        <v>11 11.2 4b</v>
      </c>
      <c r="M210" s="3" t="str">
        <f>CONCATENATE("00199680547")</f>
        <v>00199680547</v>
      </c>
      <c r="N210" s="3" t="s">
        <v>316</v>
      </c>
      <c r="O210" s="3"/>
      <c r="P210" s="4">
        <v>42783</v>
      </c>
      <c r="Q210" s="3" t="s">
        <v>27</v>
      </c>
      <c r="R210" s="3" t="s">
        <v>28</v>
      </c>
      <c r="S210" s="3" t="s">
        <v>29</v>
      </c>
      <c r="T210" s="5">
        <v>10582.38</v>
      </c>
      <c r="U210" s="5">
        <v>4563.12</v>
      </c>
      <c r="V210" s="5">
        <v>4213.8999999999996</v>
      </c>
      <c r="W210" s="5">
        <v>1805.36</v>
      </c>
    </row>
    <row r="211" spans="1:23" ht="60.75">
      <c r="A211" s="3" t="s">
        <v>23</v>
      </c>
      <c r="B211" s="3" t="s">
        <v>24</v>
      </c>
      <c r="C211" s="3" t="s">
        <v>35</v>
      </c>
      <c r="D211" s="3" t="s">
        <v>43</v>
      </c>
      <c r="E211" s="3" t="s">
        <v>30</v>
      </c>
      <c r="F211" s="3" t="s">
        <v>76</v>
      </c>
      <c r="G211" s="3">
        <v>2016</v>
      </c>
      <c r="H211" s="3" t="str">
        <f>CONCATENATE("64210087520")</f>
        <v>64210087520</v>
      </c>
      <c r="I211" s="3" t="s">
        <v>25</v>
      </c>
      <c r="J211" s="3" t="s">
        <v>26</v>
      </c>
      <c r="K211" s="3" t="str">
        <f t="shared" si="11"/>
        <v/>
      </c>
      <c r="L211" s="3" t="str">
        <f>CONCATENATE("13 13.1 4a")</f>
        <v>13 13.1 4a</v>
      </c>
      <c r="M211" s="3" t="str">
        <f>CONCATENATE("LRGNTN59B23E785T")</f>
        <v>LRGNTN59B23E785T</v>
      </c>
      <c r="N211" s="3" t="s">
        <v>317</v>
      </c>
      <c r="O211" s="3"/>
      <c r="P211" s="4">
        <v>42783</v>
      </c>
      <c r="Q211" s="3" t="s">
        <v>27</v>
      </c>
      <c r="R211" s="3" t="s">
        <v>28</v>
      </c>
      <c r="S211" s="3" t="s">
        <v>29</v>
      </c>
      <c r="T211" s="5">
        <v>4590</v>
      </c>
      <c r="U211" s="5">
        <v>1979.21</v>
      </c>
      <c r="V211" s="5">
        <v>1827.74</v>
      </c>
      <c r="W211" s="3">
        <v>783.05</v>
      </c>
    </row>
    <row r="212" spans="1:23" ht="60.75">
      <c r="A212" s="3" t="s">
        <v>23</v>
      </c>
      <c r="B212" s="3" t="s">
        <v>24</v>
      </c>
      <c r="C212" s="3" t="s">
        <v>35</v>
      </c>
      <c r="D212" s="3" t="s">
        <v>43</v>
      </c>
      <c r="E212" s="3" t="s">
        <v>30</v>
      </c>
      <c r="F212" s="3" t="s">
        <v>131</v>
      </c>
      <c r="G212" s="3">
        <v>2016</v>
      </c>
      <c r="H212" s="3" t="str">
        <f>CONCATENATE("64240212890")</f>
        <v>64240212890</v>
      </c>
      <c r="I212" s="3" t="s">
        <v>25</v>
      </c>
      <c r="J212" s="3" t="s">
        <v>26</v>
      </c>
      <c r="K212" s="3" t="str">
        <f t="shared" si="11"/>
        <v/>
      </c>
      <c r="L212" s="3" t="str">
        <f>CONCATENATE("11 11.1 4b")</f>
        <v>11 11.1 4b</v>
      </c>
      <c r="M212" s="3" t="str">
        <f>CONCATENATE("DNOLGU69S11D749D")</f>
        <v>DNOLGU69S11D749D</v>
      </c>
      <c r="N212" s="3" t="s">
        <v>318</v>
      </c>
      <c r="O212" s="3"/>
      <c r="P212" s="4">
        <v>42783</v>
      </c>
      <c r="Q212" s="3" t="s">
        <v>27</v>
      </c>
      <c r="R212" s="3" t="s">
        <v>28</v>
      </c>
      <c r="S212" s="3" t="s">
        <v>29</v>
      </c>
      <c r="T212" s="5">
        <v>14536.75</v>
      </c>
      <c r="U212" s="5">
        <v>6268.25</v>
      </c>
      <c r="V212" s="5">
        <v>5788.53</v>
      </c>
      <c r="W212" s="5">
        <v>2479.9699999999998</v>
      </c>
    </row>
    <row r="213" spans="1:23" ht="60.75">
      <c r="A213" s="3" t="s">
        <v>23</v>
      </c>
      <c r="B213" s="3" t="s">
        <v>24</v>
      </c>
      <c r="C213" s="3" t="s">
        <v>35</v>
      </c>
      <c r="D213" s="3" t="s">
        <v>48</v>
      </c>
      <c r="E213" s="3" t="s">
        <v>34</v>
      </c>
      <c r="F213" s="3" t="s">
        <v>141</v>
      </c>
      <c r="G213" s="3">
        <v>2016</v>
      </c>
      <c r="H213" s="3" t="str">
        <f>CONCATENATE("64240737185")</f>
        <v>64240737185</v>
      </c>
      <c r="I213" s="3" t="s">
        <v>25</v>
      </c>
      <c r="J213" s="3" t="s">
        <v>26</v>
      </c>
      <c r="K213" s="3" t="str">
        <f t="shared" si="11"/>
        <v/>
      </c>
      <c r="L213" s="3" t="str">
        <f>CONCATENATE("11 11.2 4b")</f>
        <v>11 11.2 4b</v>
      </c>
      <c r="M213" s="3" t="str">
        <f>CONCATENATE("RPNRNZ54C02D042P")</f>
        <v>RPNRNZ54C02D042P</v>
      </c>
      <c r="N213" s="3" t="s">
        <v>319</v>
      </c>
      <c r="O213" s="3"/>
      <c r="P213" s="4">
        <v>42783</v>
      </c>
      <c r="Q213" s="3" t="s">
        <v>27</v>
      </c>
      <c r="R213" s="3" t="s">
        <v>28</v>
      </c>
      <c r="S213" s="3" t="s">
        <v>29</v>
      </c>
      <c r="T213" s="5">
        <v>1694.12</v>
      </c>
      <c r="U213" s="3">
        <v>730.5</v>
      </c>
      <c r="V213" s="3">
        <v>674.6</v>
      </c>
      <c r="W213" s="3">
        <v>289.02</v>
      </c>
    </row>
    <row r="214" spans="1:23" ht="60.75">
      <c r="A214" s="3" t="s">
        <v>23</v>
      </c>
      <c r="B214" s="3" t="s">
        <v>24</v>
      </c>
      <c r="C214" s="3" t="s">
        <v>35</v>
      </c>
      <c r="D214" s="3" t="s">
        <v>48</v>
      </c>
      <c r="E214" s="3" t="s">
        <v>30</v>
      </c>
      <c r="F214" s="3" t="s">
        <v>61</v>
      </c>
      <c r="G214" s="3">
        <v>2016</v>
      </c>
      <c r="H214" s="3" t="str">
        <f>CONCATENATE("64211017633")</f>
        <v>64211017633</v>
      </c>
      <c r="I214" s="3" t="s">
        <v>25</v>
      </c>
      <c r="J214" s="3" t="s">
        <v>26</v>
      </c>
      <c r="K214" s="3" t="str">
        <f t="shared" si="11"/>
        <v/>
      </c>
      <c r="L214" s="3" t="str">
        <f>CONCATENATE("13 13.1 4a")</f>
        <v>13 13.1 4a</v>
      </c>
      <c r="M214" s="3" t="str">
        <f>CONCATENATE("BSGJNP89L54Z602M")</f>
        <v>BSGJNP89L54Z602M</v>
      </c>
      <c r="N214" s="3" t="s">
        <v>320</v>
      </c>
      <c r="O214" s="3"/>
      <c r="P214" s="4">
        <v>42783</v>
      </c>
      <c r="Q214" s="3" t="s">
        <v>27</v>
      </c>
      <c r="R214" s="3" t="s">
        <v>28</v>
      </c>
      <c r="S214" s="3" t="s">
        <v>29</v>
      </c>
      <c r="T214" s="3">
        <v>947.04</v>
      </c>
      <c r="U214" s="3">
        <v>408.36</v>
      </c>
      <c r="V214" s="3">
        <v>377.11</v>
      </c>
      <c r="W214" s="3">
        <v>161.57</v>
      </c>
    </row>
    <row r="215" spans="1:23" ht="60.75">
      <c r="A215" s="3" t="s">
        <v>23</v>
      </c>
      <c r="B215" s="3" t="s">
        <v>24</v>
      </c>
      <c r="C215" s="3" t="s">
        <v>35</v>
      </c>
      <c r="D215" s="3" t="s">
        <v>36</v>
      </c>
      <c r="E215" s="3" t="s">
        <v>42</v>
      </c>
      <c r="F215" s="3" t="s">
        <v>42</v>
      </c>
      <c r="G215" s="3">
        <v>2016</v>
      </c>
      <c r="H215" s="3" t="str">
        <f>CONCATENATE("64240689055")</f>
        <v>64240689055</v>
      </c>
      <c r="I215" s="3" t="s">
        <v>25</v>
      </c>
      <c r="J215" s="3" t="s">
        <v>26</v>
      </c>
      <c r="K215" s="3" t="str">
        <f t="shared" si="11"/>
        <v/>
      </c>
      <c r="L215" s="3" t="str">
        <f>CONCATENATE("11 11.1 4b")</f>
        <v>11 11.1 4b</v>
      </c>
      <c r="M215" s="3" t="str">
        <f>CONCATENATE("MRZGPR68L13I315S")</f>
        <v>MRZGPR68L13I315S</v>
      </c>
      <c r="N215" s="3" t="s">
        <v>321</v>
      </c>
      <c r="O215" s="3"/>
      <c r="P215" s="4">
        <v>42783</v>
      </c>
      <c r="Q215" s="3" t="s">
        <v>27</v>
      </c>
      <c r="R215" s="3" t="s">
        <v>28</v>
      </c>
      <c r="S215" s="3" t="s">
        <v>29</v>
      </c>
      <c r="T215" s="5">
        <v>3410.41</v>
      </c>
      <c r="U215" s="5">
        <v>1470.57</v>
      </c>
      <c r="V215" s="5">
        <v>1358.03</v>
      </c>
      <c r="W215" s="3">
        <v>581.80999999999995</v>
      </c>
    </row>
    <row r="216" spans="1:23" ht="60.75">
      <c r="A216" s="3" t="s">
        <v>23</v>
      </c>
      <c r="B216" s="3" t="s">
        <v>24</v>
      </c>
      <c r="C216" s="3" t="s">
        <v>35</v>
      </c>
      <c r="D216" s="3" t="s">
        <v>48</v>
      </c>
      <c r="E216" s="3" t="s">
        <v>49</v>
      </c>
      <c r="F216" s="3" t="s">
        <v>80</v>
      </c>
      <c r="G216" s="3">
        <v>2016</v>
      </c>
      <c r="H216" s="3" t="str">
        <f>CONCATENATE("64210673683")</f>
        <v>64210673683</v>
      </c>
      <c r="I216" s="3" t="s">
        <v>25</v>
      </c>
      <c r="J216" s="3" t="s">
        <v>26</v>
      </c>
      <c r="K216" s="3" t="str">
        <f t="shared" si="11"/>
        <v/>
      </c>
      <c r="L216" s="3" t="str">
        <f>CONCATENATE("13 13.1 4a")</f>
        <v>13 13.1 4a</v>
      </c>
      <c r="M216" s="3" t="str">
        <f>CONCATENATE("PGTRNZ50T10B474K")</f>
        <v>PGTRNZ50T10B474K</v>
      </c>
      <c r="N216" s="3" t="s">
        <v>322</v>
      </c>
      <c r="O216" s="3"/>
      <c r="P216" s="4">
        <v>42783</v>
      </c>
      <c r="Q216" s="3" t="s">
        <v>27</v>
      </c>
      <c r="R216" s="3" t="s">
        <v>28</v>
      </c>
      <c r="S216" s="3" t="s">
        <v>29</v>
      </c>
      <c r="T216" s="5">
        <v>1028.0999999999999</v>
      </c>
      <c r="U216" s="3">
        <v>443.32</v>
      </c>
      <c r="V216" s="3">
        <v>409.39</v>
      </c>
      <c r="W216" s="3">
        <v>175.39</v>
      </c>
    </row>
    <row r="217" spans="1:23" ht="36.75">
      <c r="A217" s="3" t="s">
        <v>23</v>
      </c>
      <c r="B217" s="3" t="s">
        <v>24</v>
      </c>
      <c r="C217" s="3" t="s">
        <v>35</v>
      </c>
      <c r="D217" s="3" t="s">
        <v>36</v>
      </c>
      <c r="E217" s="3" t="s">
        <v>30</v>
      </c>
      <c r="F217" s="3" t="s">
        <v>323</v>
      </c>
      <c r="G217" s="3">
        <v>2016</v>
      </c>
      <c r="H217" s="3" t="str">
        <f>CONCATENATE("64240489779")</f>
        <v>64240489779</v>
      </c>
      <c r="I217" s="3" t="s">
        <v>25</v>
      </c>
      <c r="J217" s="3" t="s">
        <v>26</v>
      </c>
      <c r="K217" s="3" t="str">
        <f t="shared" si="11"/>
        <v/>
      </c>
      <c r="L217" s="3" t="str">
        <f>CONCATENATE("11 11.2 4b")</f>
        <v>11 11.2 4b</v>
      </c>
      <c r="M217" s="3" t="str">
        <f>CONCATENATE("01733560443")</f>
        <v>01733560443</v>
      </c>
      <c r="N217" s="3" t="s">
        <v>324</v>
      </c>
      <c r="O217" s="3"/>
      <c r="P217" s="4">
        <v>42783</v>
      </c>
      <c r="Q217" s="3" t="s">
        <v>27</v>
      </c>
      <c r="R217" s="3" t="s">
        <v>28</v>
      </c>
      <c r="S217" s="3" t="s">
        <v>29</v>
      </c>
      <c r="T217" s="5">
        <v>3553.64</v>
      </c>
      <c r="U217" s="5">
        <v>1532.33</v>
      </c>
      <c r="V217" s="5">
        <v>1415.06</v>
      </c>
      <c r="W217" s="3">
        <v>606.25</v>
      </c>
    </row>
    <row r="218" spans="1:23" ht="60.75">
      <c r="A218" s="3" t="s">
        <v>23</v>
      </c>
      <c r="B218" s="3" t="s">
        <v>24</v>
      </c>
      <c r="C218" s="3" t="s">
        <v>35</v>
      </c>
      <c r="D218" s="3" t="s">
        <v>39</v>
      </c>
      <c r="E218" s="3" t="s">
        <v>30</v>
      </c>
      <c r="F218" s="3" t="s">
        <v>84</v>
      </c>
      <c r="G218" s="3">
        <v>2016</v>
      </c>
      <c r="H218" s="3" t="str">
        <f>CONCATENATE("64240717534")</f>
        <v>64240717534</v>
      </c>
      <c r="I218" s="3" t="s">
        <v>25</v>
      </c>
      <c r="J218" s="3" t="s">
        <v>26</v>
      </c>
      <c r="K218" s="3" t="str">
        <f t="shared" si="11"/>
        <v/>
      </c>
      <c r="L218" s="3" t="str">
        <f>CONCATENATE("11 11.2 4b")</f>
        <v>11 11.2 4b</v>
      </c>
      <c r="M218" s="3" t="str">
        <f>CONCATENATE("PVRLLL65B11D451S")</f>
        <v>PVRLLL65B11D451S</v>
      </c>
      <c r="N218" s="3" t="s">
        <v>85</v>
      </c>
      <c r="O218" s="3"/>
      <c r="P218" s="4">
        <v>42783</v>
      </c>
      <c r="Q218" s="3" t="s">
        <v>27</v>
      </c>
      <c r="R218" s="3" t="s">
        <v>28</v>
      </c>
      <c r="S218" s="3" t="s">
        <v>29</v>
      </c>
      <c r="T218" s="5">
        <v>1854.36</v>
      </c>
      <c r="U218" s="3">
        <v>799.6</v>
      </c>
      <c r="V218" s="3">
        <v>738.41</v>
      </c>
      <c r="W218" s="3">
        <v>316.35000000000002</v>
      </c>
    </row>
    <row r="219" spans="1:23" ht="60.75">
      <c r="A219" s="3" t="s">
        <v>23</v>
      </c>
      <c r="B219" s="3" t="s">
        <v>24</v>
      </c>
      <c r="C219" s="3" t="s">
        <v>35</v>
      </c>
      <c r="D219" s="3" t="s">
        <v>36</v>
      </c>
      <c r="E219" s="3" t="s">
        <v>59</v>
      </c>
      <c r="F219" s="3" t="s">
        <v>62</v>
      </c>
      <c r="G219" s="3">
        <v>2016</v>
      </c>
      <c r="H219" s="3" t="str">
        <f>CONCATENATE("64240395455")</f>
        <v>64240395455</v>
      </c>
      <c r="I219" s="3" t="s">
        <v>25</v>
      </c>
      <c r="J219" s="3" t="s">
        <v>26</v>
      </c>
      <c r="K219" s="3" t="str">
        <f t="shared" si="11"/>
        <v/>
      </c>
      <c r="L219" s="3" t="str">
        <f>CONCATENATE("11 11.1 4b")</f>
        <v>11 11.1 4b</v>
      </c>
      <c r="M219" s="3" t="str">
        <f>CONCATENATE("CMPRME62R30G005E")</f>
        <v>CMPRME62R30G005E</v>
      </c>
      <c r="N219" s="3" t="s">
        <v>325</v>
      </c>
      <c r="O219" s="3"/>
      <c r="P219" s="4">
        <v>42783</v>
      </c>
      <c r="Q219" s="3" t="s">
        <v>27</v>
      </c>
      <c r="R219" s="3" t="s">
        <v>28</v>
      </c>
      <c r="S219" s="3" t="s">
        <v>29</v>
      </c>
      <c r="T219" s="5">
        <v>2105.2600000000002</v>
      </c>
      <c r="U219" s="3">
        <v>907.79</v>
      </c>
      <c r="V219" s="3">
        <v>838.31</v>
      </c>
      <c r="W219" s="3">
        <v>359.16</v>
      </c>
    </row>
    <row r="220" spans="1:23" ht="60.75">
      <c r="A220" s="3" t="s">
        <v>23</v>
      </c>
      <c r="B220" s="3" t="s">
        <v>24</v>
      </c>
      <c r="C220" s="3" t="s">
        <v>35</v>
      </c>
      <c r="D220" s="3" t="s">
        <v>43</v>
      </c>
      <c r="E220" s="3" t="s">
        <v>33</v>
      </c>
      <c r="F220" s="3" t="s">
        <v>122</v>
      </c>
      <c r="G220" s="3">
        <v>2016</v>
      </c>
      <c r="H220" s="3" t="str">
        <f>CONCATENATE("64211105891")</f>
        <v>64211105891</v>
      </c>
      <c r="I220" s="3" t="s">
        <v>31</v>
      </c>
      <c r="J220" s="3" t="s">
        <v>26</v>
      </c>
      <c r="K220" s="3" t="str">
        <f t="shared" si="11"/>
        <v/>
      </c>
      <c r="L220" s="3" t="str">
        <f>CONCATENATE("13 13.1 4a")</f>
        <v>13 13.1 4a</v>
      </c>
      <c r="M220" s="3" t="str">
        <f>CONCATENATE("SRTPMR60E20E785G")</f>
        <v>SRTPMR60E20E785G</v>
      </c>
      <c r="N220" s="3" t="s">
        <v>326</v>
      </c>
      <c r="O220" s="3"/>
      <c r="P220" s="4">
        <v>42783</v>
      </c>
      <c r="Q220" s="3" t="s">
        <v>27</v>
      </c>
      <c r="R220" s="3" t="s">
        <v>28</v>
      </c>
      <c r="S220" s="3" t="s">
        <v>29</v>
      </c>
      <c r="T220" s="5">
        <v>4806</v>
      </c>
      <c r="U220" s="5">
        <v>2072.35</v>
      </c>
      <c r="V220" s="5">
        <v>1913.75</v>
      </c>
      <c r="W220" s="3">
        <v>819.9</v>
      </c>
    </row>
    <row r="221" spans="1:23" ht="60.75">
      <c r="A221" s="3" t="s">
        <v>23</v>
      </c>
      <c r="B221" s="3" t="s">
        <v>24</v>
      </c>
      <c r="C221" s="3" t="s">
        <v>35</v>
      </c>
      <c r="D221" s="3" t="s">
        <v>43</v>
      </c>
      <c r="E221" s="3" t="s">
        <v>30</v>
      </c>
      <c r="F221" s="3" t="s">
        <v>113</v>
      </c>
      <c r="G221" s="3">
        <v>2016</v>
      </c>
      <c r="H221" s="3" t="str">
        <f>CONCATENATE("64211005737")</f>
        <v>64211005737</v>
      </c>
      <c r="I221" s="3" t="s">
        <v>25</v>
      </c>
      <c r="J221" s="3" t="s">
        <v>26</v>
      </c>
      <c r="K221" s="3" t="str">
        <f t="shared" si="11"/>
        <v/>
      </c>
      <c r="L221" s="3" t="str">
        <f>CONCATENATE("13 13.1 4a")</f>
        <v>13 13.1 4a</v>
      </c>
      <c r="M221" s="3" t="str">
        <f>CONCATENATE("DRUFNC63C69B636V")</f>
        <v>DRUFNC63C69B636V</v>
      </c>
      <c r="N221" s="3" t="s">
        <v>327</v>
      </c>
      <c r="O221" s="3"/>
      <c r="P221" s="4">
        <v>42783</v>
      </c>
      <c r="Q221" s="3" t="s">
        <v>27</v>
      </c>
      <c r="R221" s="3" t="s">
        <v>28</v>
      </c>
      <c r="S221" s="3" t="s">
        <v>29</v>
      </c>
      <c r="T221" s="5">
        <v>2452.5300000000002</v>
      </c>
      <c r="U221" s="5">
        <v>1057.53</v>
      </c>
      <c r="V221" s="3">
        <v>976.6</v>
      </c>
      <c r="W221" s="3">
        <v>418.4</v>
      </c>
    </row>
    <row r="222" spans="1:23" ht="36.75">
      <c r="A222" s="3" t="s">
        <v>23</v>
      </c>
      <c r="B222" s="3" t="s">
        <v>24</v>
      </c>
      <c r="C222" s="3" t="s">
        <v>35</v>
      </c>
      <c r="D222" s="3" t="s">
        <v>36</v>
      </c>
      <c r="E222" s="3" t="s">
        <v>30</v>
      </c>
      <c r="F222" s="3" t="s">
        <v>72</v>
      </c>
      <c r="G222" s="3">
        <v>2016</v>
      </c>
      <c r="H222" s="3" t="str">
        <f>CONCATENATE("64240372389")</f>
        <v>64240372389</v>
      </c>
      <c r="I222" s="3" t="s">
        <v>25</v>
      </c>
      <c r="J222" s="3" t="s">
        <v>26</v>
      </c>
      <c r="K222" s="3" t="str">
        <f t="shared" si="11"/>
        <v/>
      </c>
      <c r="L222" s="3" t="str">
        <f>CONCATENATE("11 11.2 4b")</f>
        <v>11 11.2 4b</v>
      </c>
      <c r="M222" s="3" t="str">
        <f>CONCATENATE("02196210443")</f>
        <v>02196210443</v>
      </c>
      <c r="N222" s="3" t="s">
        <v>328</v>
      </c>
      <c r="O222" s="3"/>
      <c r="P222" s="4">
        <v>42783</v>
      </c>
      <c r="Q222" s="3" t="s">
        <v>27</v>
      </c>
      <c r="R222" s="3" t="s">
        <v>28</v>
      </c>
      <c r="S222" s="3" t="s">
        <v>29</v>
      </c>
      <c r="T222" s="5">
        <v>1703.41</v>
      </c>
      <c r="U222" s="3">
        <v>734.51</v>
      </c>
      <c r="V222" s="3">
        <v>678.3</v>
      </c>
      <c r="W222" s="3">
        <v>290.60000000000002</v>
      </c>
    </row>
    <row r="223" spans="1:23" ht="72.75">
      <c r="A223" s="3" t="s">
        <v>23</v>
      </c>
      <c r="B223" s="3" t="s">
        <v>24</v>
      </c>
      <c r="C223" s="3" t="s">
        <v>35</v>
      </c>
      <c r="D223" s="3" t="s">
        <v>36</v>
      </c>
      <c r="E223" s="3" t="s">
        <v>42</v>
      </c>
      <c r="F223" s="3" t="s">
        <v>42</v>
      </c>
      <c r="G223" s="3">
        <v>2016</v>
      </c>
      <c r="H223" s="3" t="str">
        <f>CONCATENATE("64240547444")</f>
        <v>64240547444</v>
      </c>
      <c r="I223" s="3" t="s">
        <v>25</v>
      </c>
      <c r="J223" s="3" t="s">
        <v>26</v>
      </c>
      <c r="K223" s="3" t="str">
        <f t="shared" si="11"/>
        <v/>
      </c>
      <c r="L223" s="3" t="str">
        <f>CONCATENATE("11 11.2 4b")</f>
        <v>11 11.2 4b</v>
      </c>
      <c r="M223" s="3" t="str">
        <f>CONCATENATE("LNDLGU42H27G005H")</f>
        <v>LNDLGU42H27G005H</v>
      </c>
      <c r="N223" s="3" t="s">
        <v>329</v>
      </c>
      <c r="O223" s="3"/>
      <c r="P223" s="4">
        <v>42783</v>
      </c>
      <c r="Q223" s="3" t="s">
        <v>27</v>
      </c>
      <c r="R223" s="3" t="s">
        <v>28</v>
      </c>
      <c r="S223" s="3" t="s">
        <v>29</v>
      </c>
      <c r="T223" s="5">
        <v>4924.87</v>
      </c>
      <c r="U223" s="5">
        <v>2123.6</v>
      </c>
      <c r="V223" s="5">
        <v>1961.08</v>
      </c>
      <c r="W223" s="3">
        <v>840.19</v>
      </c>
    </row>
    <row r="224" spans="1:23" ht="36.75">
      <c r="A224" s="3" t="s">
        <v>23</v>
      </c>
      <c r="B224" s="3" t="s">
        <v>24</v>
      </c>
      <c r="C224" s="3" t="s">
        <v>35</v>
      </c>
      <c r="D224" s="3" t="s">
        <v>39</v>
      </c>
      <c r="E224" s="3" t="s">
        <v>33</v>
      </c>
      <c r="F224" s="3" t="s">
        <v>330</v>
      </c>
      <c r="G224" s="3">
        <v>2016</v>
      </c>
      <c r="H224" s="3" t="str">
        <f>CONCATENATE("64240644712")</f>
        <v>64240644712</v>
      </c>
      <c r="I224" s="3" t="s">
        <v>25</v>
      </c>
      <c r="J224" s="3" t="s">
        <v>26</v>
      </c>
      <c r="K224" s="3" t="str">
        <f t="shared" si="11"/>
        <v/>
      </c>
      <c r="L224" s="3" t="str">
        <f>CONCATENATE("11 11.2 4b")</f>
        <v>11 11.2 4b</v>
      </c>
      <c r="M224" s="3" t="str">
        <f>CONCATENATE("82001310422")</f>
        <v>82001310422</v>
      </c>
      <c r="N224" s="3" t="s">
        <v>331</v>
      </c>
      <c r="O224" s="3"/>
      <c r="P224" s="4">
        <v>42783</v>
      </c>
      <c r="Q224" s="3" t="s">
        <v>27</v>
      </c>
      <c r="R224" s="3" t="s">
        <v>28</v>
      </c>
      <c r="S224" s="3" t="s">
        <v>29</v>
      </c>
      <c r="T224" s="5">
        <v>17711.88</v>
      </c>
      <c r="U224" s="5">
        <v>7637.36</v>
      </c>
      <c r="V224" s="5">
        <v>7052.87</v>
      </c>
      <c r="W224" s="5">
        <v>3021.65</v>
      </c>
    </row>
    <row r="225" spans="1:23" ht="72.75">
      <c r="A225" s="3" t="s">
        <v>23</v>
      </c>
      <c r="B225" s="3" t="s">
        <v>24</v>
      </c>
      <c r="C225" s="3" t="s">
        <v>35</v>
      </c>
      <c r="D225" s="3" t="s">
        <v>48</v>
      </c>
      <c r="E225" s="3" t="s">
        <v>34</v>
      </c>
      <c r="F225" s="3" t="s">
        <v>141</v>
      </c>
      <c r="G225" s="3">
        <v>2016</v>
      </c>
      <c r="H225" s="3" t="str">
        <f>CONCATENATE("64240735189")</f>
        <v>64240735189</v>
      </c>
      <c r="I225" s="3" t="s">
        <v>25</v>
      </c>
      <c r="J225" s="3" t="s">
        <v>26</v>
      </c>
      <c r="K225" s="3" t="str">
        <f t="shared" si="11"/>
        <v/>
      </c>
      <c r="L225" s="3" t="str">
        <f>CONCATENATE("11 11.2 4b")</f>
        <v>11 11.2 4b</v>
      </c>
      <c r="M225" s="3" t="str">
        <f>CONCATENATE("MROLSN85M71L366O")</f>
        <v>MROLSN85M71L366O</v>
      </c>
      <c r="N225" s="3" t="s">
        <v>332</v>
      </c>
      <c r="O225" s="3"/>
      <c r="P225" s="4">
        <v>42783</v>
      </c>
      <c r="Q225" s="3" t="s">
        <v>27</v>
      </c>
      <c r="R225" s="3" t="s">
        <v>28</v>
      </c>
      <c r="S225" s="3" t="s">
        <v>29</v>
      </c>
      <c r="T225" s="5">
        <v>3200.69</v>
      </c>
      <c r="U225" s="5">
        <v>1380.14</v>
      </c>
      <c r="V225" s="5">
        <v>1274.51</v>
      </c>
      <c r="W225" s="3">
        <v>546.04</v>
      </c>
    </row>
    <row r="226" spans="1:23" ht="60.75">
      <c r="A226" s="3" t="s">
        <v>23</v>
      </c>
      <c r="B226" s="3" t="s">
        <v>24</v>
      </c>
      <c r="C226" s="3" t="s">
        <v>35</v>
      </c>
      <c r="D226" s="3" t="s">
        <v>36</v>
      </c>
      <c r="E226" s="3" t="s">
        <v>32</v>
      </c>
      <c r="F226" s="3" t="s">
        <v>179</v>
      </c>
      <c r="G226" s="3">
        <v>2016</v>
      </c>
      <c r="H226" s="3" t="str">
        <f>CONCATENATE("64240597316")</f>
        <v>64240597316</v>
      </c>
      <c r="I226" s="3" t="s">
        <v>25</v>
      </c>
      <c r="J226" s="3" t="s">
        <v>26</v>
      </c>
      <c r="K226" s="3" t="str">
        <f t="shared" si="11"/>
        <v/>
      </c>
      <c r="L226" s="3" t="str">
        <f>CONCATENATE("10 10.1 4b")</f>
        <v>10 10.1 4b</v>
      </c>
      <c r="M226" s="3" t="str">
        <f>CONCATENATE("LLLSMN75S11D542Y")</f>
        <v>LLLSMN75S11D542Y</v>
      </c>
      <c r="N226" s="3" t="s">
        <v>333</v>
      </c>
      <c r="O226" s="3"/>
      <c r="P226" s="4">
        <v>42783</v>
      </c>
      <c r="Q226" s="3" t="s">
        <v>27</v>
      </c>
      <c r="R226" s="3" t="s">
        <v>28</v>
      </c>
      <c r="S226" s="3" t="s">
        <v>29</v>
      </c>
      <c r="T226" s="5">
        <v>1409.23</v>
      </c>
      <c r="U226" s="3">
        <v>607.66</v>
      </c>
      <c r="V226" s="3">
        <v>561.16</v>
      </c>
      <c r="W226" s="3">
        <v>240.41</v>
      </c>
    </row>
    <row r="227" spans="1:23" ht="60.75">
      <c r="A227" s="3" t="s">
        <v>23</v>
      </c>
      <c r="B227" s="3" t="s">
        <v>24</v>
      </c>
      <c r="C227" s="3" t="s">
        <v>35</v>
      </c>
      <c r="D227" s="3" t="s">
        <v>36</v>
      </c>
      <c r="E227" s="3" t="s">
        <v>30</v>
      </c>
      <c r="F227" s="3" t="s">
        <v>37</v>
      </c>
      <c r="G227" s="3">
        <v>2016</v>
      </c>
      <c r="H227" s="3" t="str">
        <f>CONCATENATE("64240768073")</f>
        <v>64240768073</v>
      </c>
      <c r="I227" s="3" t="s">
        <v>31</v>
      </c>
      <c r="J227" s="3" t="s">
        <v>26</v>
      </c>
      <c r="K227" s="3" t="str">
        <f t="shared" si="11"/>
        <v/>
      </c>
      <c r="L227" s="3" t="str">
        <f>CONCATENATE("10 10.1 4b")</f>
        <v>10 10.1 4b</v>
      </c>
      <c r="M227" s="3" t="str">
        <f>CONCATENATE("PLCRDN64C05G516Y")</f>
        <v>PLCRDN64C05G516Y</v>
      </c>
      <c r="N227" s="3" t="s">
        <v>334</v>
      </c>
      <c r="O227" s="3"/>
      <c r="P227" s="4">
        <v>42783</v>
      </c>
      <c r="Q227" s="3" t="s">
        <v>27</v>
      </c>
      <c r="R227" s="3" t="s">
        <v>28</v>
      </c>
      <c r="S227" s="3" t="s">
        <v>29</v>
      </c>
      <c r="T227" s="5">
        <v>1648.26</v>
      </c>
      <c r="U227" s="3">
        <v>710.73</v>
      </c>
      <c r="V227" s="3">
        <v>656.34</v>
      </c>
      <c r="W227" s="3">
        <v>281.19</v>
      </c>
    </row>
    <row r="228" spans="1:23" ht="60.75">
      <c r="A228" s="3" t="s">
        <v>23</v>
      </c>
      <c r="B228" s="3" t="s">
        <v>24</v>
      </c>
      <c r="C228" s="3" t="s">
        <v>35</v>
      </c>
      <c r="D228" s="3" t="s">
        <v>43</v>
      </c>
      <c r="E228" s="3" t="s">
        <v>32</v>
      </c>
      <c r="F228" s="3" t="s">
        <v>335</v>
      </c>
      <c r="G228" s="3">
        <v>2016</v>
      </c>
      <c r="H228" s="3" t="str">
        <f>CONCATENATE("64210442857")</f>
        <v>64210442857</v>
      </c>
      <c r="I228" s="3" t="s">
        <v>31</v>
      </c>
      <c r="J228" s="3" t="s">
        <v>26</v>
      </c>
      <c r="K228" s="3" t="str">
        <f t="shared" si="11"/>
        <v/>
      </c>
      <c r="L228" s="3" t="str">
        <f>CONCATENATE("13 13.1 4a")</f>
        <v>13 13.1 4a</v>
      </c>
      <c r="M228" s="3" t="str">
        <f>CONCATENATE("MRTCLD67C17E785P")</f>
        <v>MRTCLD67C17E785P</v>
      </c>
      <c r="N228" s="3" t="s">
        <v>336</v>
      </c>
      <c r="O228" s="3"/>
      <c r="P228" s="4">
        <v>42783</v>
      </c>
      <c r="Q228" s="3" t="s">
        <v>27</v>
      </c>
      <c r="R228" s="3" t="s">
        <v>28</v>
      </c>
      <c r="S228" s="3" t="s">
        <v>29</v>
      </c>
      <c r="T228" s="3">
        <v>469.41</v>
      </c>
      <c r="U228" s="3">
        <v>202.41</v>
      </c>
      <c r="V228" s="3">
        <v>186.92</v>
      </c>
      <c r="W228" s="3">
        <v>80.08</v>
      </c>
    </row>
    <row r="229" spans="1:23" ht="60.75">
      <c r="A229" s="3" t="s">
        <v>23</v>
      </c>
      <c r="B229" s="3" t="s">
        <v>24</v>
      </c>
      <c r="C229" s="3" t="s">
        <v>35</v>
      </c>
      <c r="D229" s="3" t="s">
        <v>39</v>
      </c>
      <c r="E229" s="3" t="s">
        <v>30</v>
      </c>
      <c r="F229" s="3" t="s">
        <v>285</v>
      </c>
      <c r="G229" s="3">
        <v>2016</v>
      </c>
      <c r="H229" s="3" t="str">
        <f>CONCATENATE("64240567665")</f>
        <v>64240567665</v>
      </c>
      <c r="I229" s="3" t="s">
        <v>25</v>
      </c>
      <c r="J229" s="3" t="s">
        <v>26</v>
      </c>
      <c r="K229" s="3" t="str">
        <f t="shared" si="11"/>
        <v/>
      </c>
      <c r="L229" s="3" t="str">
        <f>CONCATENATE("11 11.2 4b")</f>
        <v>11 11.2 4b</v>
      </c>
      <c r="M229" s="3" t="str">
        <f>CONCATENATE("GLLGRL69R30A271Z")</f>
        <v>GLLGRL69R30A271Z</v>
      </c>
      <c r="N229" s="3" t="s">
        <v>337</v>
      </c>
      <c r="O229" s="3"/>
      <c r="P229" s="4">
        <v>42783</v>
      </c>
      <c r="Q229" s="3" t="s">
        <v>27</v>
      </c>
      <c r="R229" s="3" t="s">
        <v>28</v>
      </c>
      <c r="S229" s="3" t="s">
        <v>29</v>
      </c>
      <c r="T229" s="5">
        <v>1575.99</v>
      </c>
      <c r="U229" s="3">
        <v>679.57</v>
      </c>
      <c r="V229" s="3">
        <v>627.55999999999995</v>
      </c>
      <c r="W229" s="3">
        <v>268.86</v>
      </c>
    </row>
    <row r="230" spans="1:23" ht="72.75">
      <c r="A230" s="3" t="s">
        <v>23</v>
      </c>
      <c r="B230" s="3" t="s">
        <v>24</v>
      </c>
      <c r="C230" s="3" t="s">
        <v>35</v>
      </c>
      <c r="D230" s="3" t="s">
        <v>36</v>
      </c>
      <c r="E230" s="3" t="s">
        <v>33</v>
      </c>
      <c r="F230" s="3" t="s">
        <v>89</v>
      </c>
      <c r="G230" s="3">
        <v>2016</v>
      </c>
      <c r="H230" s="3" t="str">
        <f>CONCATENATE("64210575110")</f>
        <v>64210575110</v>
      </c>
      <c r="I230" s="3" t="s">
        <v>25</v>
      </c>
      <c r="J230" s="3" t="s">
        <v>26</v>
      </c>
      <c r="K230" s="3" t="str">
        <f t="shared" si="11"/>
        <v/>
      </c>
      <c r="L230" s="3" t="str">
        <f>CONCATENATE("13 13.1 4a")</f>
        <v>13 13.1 4a</v>
      </c>
      <c r="M230" s="3" t="str">
        <f>CONCATENATE("CRCMSM71R26A252R")</f>
        <v>CRCMSM71R26A252R</v>
      </c>
      <c r="N230" s="3" t="s">
        <v>338</v>
      </c>
      <c r="O230" s="3"/>
      <c r="P230" s="4">
        <v>42783</v>
      </c>
      <c r="Q230" s="3" t="s">
        <v>27</v>
      </c>
      <c r="R230" s="3" t="s">
        <v>28</v>
      </c>
      <c r="S230" s="3" t="s">
        <v>29</v>
      </c>
      <c r="T230" s="3">
        <v>570.47</v>
      </c>
      <c r="U230" s="3">
        <v>245.99</v>
      </c>
      <c r="V230" s="3">
        <v>227.16</v>
      </c>
      <c r="W230" s="3">
        <v>97.32</v>
      </c>
    </row>
    <row r="231" spans="1:23" ht="36.75">
      <c r="A231" s="3" t="s">
        <v>23</v>
      </c>
      <c r="B231" s="3" t="s">
        <v>24</v>
      </c>
      <c r="C231" s="3" t="s">
        <v>35</v>
      </c>
      <c r="D231" s="3" t="s">
        <v>36</v>
      </c>
      <c r="E231" s="3" t="s">
        <v>30</v>
      </c>
      <c r="F231" s="3" t="s">
        <v>37</v>
      </c>
      <c r="G231" s="3">
        <v>2016</v>
      </c>
      <c r="H231" s="3" t="str">
        <f>CONCATENATE("64240411344")</f>
        <v>64240411344</v>
      </c>
      <c r="I231" s="3" t="s">
        <v>25</v>
      </c>
      <c r="J231" s="3" t="s">
        <v>26</v>
      </c>
      <c r="K231" s="3" t="str">
        <f t="shared" si="11"/>
        <v/>
      </c>
      <c r="L231" s="3" t="str">
        <f>CONCATENATE("10 10.1 4b")</f>
        <v>10 10.1 4b</v>
      </c>
      <c r="M231" s="3" t="str">
        <f>CONCATENATE("02273320446")</f>
        <v>02273320446</v>
      </c>
      <c r="N231" s="3" t="s">
        <v>339</v>
      </c>
      <c r="O231" s="3"/>
      <c r="P231" s="4">
        <v>42783</v>
      </c>
      <c r="Q231" s="3" t="s">
        <v>27</v>
      </c>
      <c r="R231" s="3" t="s">
        <v>28</v>
      </c>
      <c r="S231" s="3" t="s">
        <v>29</v>
      </c>
      <c r="T231" s="5">
        <v>4817.4399999999996</v>
      </c>
      <c r="U231" s="5">
        <v>2077.2800000000002</v>
      </c>
      <c r="V231" s="5">
        <v>1918.3</v>
      </c>
      <c r="W231" s="3">
        <v>821.86</v>
      </c>
    </row>
    <row r="232" spans="1:23" ht="60.75">
      <c r="A232" s="3" t="s">
        <v>23</v>
      </c>
      <c r="B232" s="3" t="s">
        <v>24</v>
      </c>
      <c r="C232" s="3" t="s">
        <v>35</v>
      </c>
      <c r="D232" s="3" t="s">
        <v>39</v>
      </c>
      <c r="E232" s="3" t="s">
        <v>32</v>
      </c>
      <c r="F232" s="3" t="s">
        <v>117</v>
      </c>
      <c r="G232" s="3">
        <v>2016</v>
      </c>
      <c r="H232" s="3" t="str">
        <f>CONCATENATE("64240484473")</f>
        <v>64240484473</v>
      </c>
      <c r="I232" s="3" t="s">
        <v>25</v>
      </c>
      <c r="J232" s="3" t="s">
        <v>26</v>
      </c>
      <c r="K232" s="3" t="str">
        <f t="shared" si="11"/>
        <v/>
      </c>
      <c r="L232" s="3" t="str">
        <f>CONCATENATE("11 11.2 4b")</f>
        <v>11 11.2 4b</v>
      </c>
      <c r="M232" s="3" t="str">
        <f>CONCATENATE("TMSMTT86L16I608O")</f>
        <v>TMSMTT86L16I608O</v>
      </c>
      <c r="N232" s="3" t="s">
        <v>340</v>
      </c>
      <c r="O232" s="3"/>
      <c r="P232" s="4">
        <v>42783</v>
      </c>
      <c r="Q232" s="3" t="s">
        <v>27</v>
      </c>
      <c r="R232" s="3" t="s">
        <v>28</v>
      </c>
      <c r="S232" s="3" t="s">
        <v>29</v>
      </c>
      <c r="T232" s="5">
        <v>8205.52</v>
      </c>
      <c r="U232" s="5">
        <v>3538.22</v>
      </c>
      <c r="V232" s="5">
        <v>3267.44</v>
      </c>
      <c r="W232" s="5">
        <v>1399.86</v>
      </c>
    </row>
    <row r="233" spans="1:23" ht="60.75">
      <c r="A233" s="3" t="s">
        <v>23</v>
      </c>
      <c r="B233" s="3" t="s">
        <v>24</v>
      </c>
      <c r="C233" s="3" t="s">
        <v>35</v>
      </c>
      <c r="D233" s="3" t="s">
        <v>36</v>
      </c>
      <c r="E233" s="3" t="s">
        <v>30</v>
      </c>
      <c r="F233" s="3" t="s">
        <v>37</v>
      </c>
      <c r="G233" s="3">
        <v>2016</v>
      </c>
      <c r="H233" s="3" t="str">
        <f>CONCATENATE("64211053562")</f>
        <v>64211053562</v>
      </c>
      <c r="I233" s="3" t="s">
        <v>25</v>
      </c>
      <c r="J233" s="3" t="s">
        <v>26</v>
      </c>
      <c r="K233" s="3" t="str">
        <f t="shared" si="11"/>
        <v/>
      </c>
      <c r="L233" s="3" t="str">
        <f>CONCATENATE("13 13.1 4a")</f>
        <v>13 13.1 4a</v>
      </c>
      <c r="M233" s="3" t="str">
        <f>CONCATENATE("SLQGNT52R66F509B")</f>
        <v>SLQGNT52R66F509B</v>
      </c>
      <c r="N233" s="3" t="s">
        <v>341</v>
      </c>
      <c r="O233" s="3"/>
      <c r="P233" s="4">
        <v>42783</v>
      </c>
      <c r="Q233" s="3" t="s">
        <v>27</v>
      </c>
      <c r="R233" s="3" t="s">
        <v>28</v>
      </c>
      <c r="S233" s="3" t="s">
        <v>29</v>
      </c>
      <c r="T233" s="5">
        <v>1270.46</v>
      </c>
      <c r="U233" s="3">
        <v>547.82000000000005</v>
      </c>
      <c r="V233" s="3">
        <v>505.9</v>
      </c>
      <c r="W233" s="3">
        <v>216.74</v>
      </c>
    </row>
    <row r="234" spans="1:23" ht="36.75">
      <c r="A234" s="3" t="s">
        <v>23</v>
      </c>
      <c r="B234" s="3" t="s">
        <v>24</v>
      </c>
      <c r="C234" s="3" t="s">
        <v>35</v>
      </c>
      <c r="D234" s="3" t="s">
        <v>36</v>
      </c>
      <c r="E234" s="3" t="s">
        <v>30</v>
      </c>
      <c r="F234" s="3" t="s">
        <v>86</v>
      </c>
      <c r="G234" s="3">
        <v>2016</v>
      </c>
      <c r="H234" s="3" t="str">
        <f>CONCATENATE("64240343323")</f>
        <v>64240343323</v>
      </c>
      <c r="I234" s="3" t="s">
        <v>25</v>
      </c>
      <c r="J234" s="3" t="s">
        <v>26</v>
      </c>
      <c r="K234" s="3" t="str">
        <f t="shared" si="11"/>
        <v/>
      </c>
      <c r="L234" s="3" t="str">
        <f>CONCATENATE("11 11.2 4b")</f>
        <v>11 11.2 4b</v>
      </c>
      <c r="M234" s="3" t="str">
        <f>CONCATENATE("01987820444")</f>
        <v>01987820444</v>
      </c>
      <c r="N234" s="3" t="s">
        <v>342</v>
      </c>
      <c r="O234" s="3"/>
      <c r="P234" s="4">
        <v>42783</v>
      </c>
      <c r="Q234" s="3" t="s">
        <v>27</v>
      </c>
      <c r="R234" s="3" t="s">
        <v>28</v>
      </c>
      <c r="S234" s="3" t="s">
        <v>29</v>
      </c>
      <c r="T234" s="5">
        <v>2671.62</v>
      </c>
      <c r="U234" s="5">
        <v>1152</v>
      </c>
      <c r="V234" s="5">
        <v>1063.8399999999999</v>
      </c>
      <c r="W234" s="3">
        <v>455.78</v>
      </c>
    </row>
    <row r="235" spans="1:23" ht="60.75">
      <c r="A235" s="3" t="s">
        <v>23</v>
      </c>
      <c r="B235" s="3" t="s">
        <v>24</v>
      </c>
      <c r="C235" s="3" t="s">
        <v>35</v>
      </c>
      <c r="D235" s="3" t="s">
        <v>48</v>
      </c>
      <c r="E235" s="3" t="s">
        <v>49</v>
      </c>
      <c r="F235" s="3" t="s">
        <v>50</v>
      </c>
      <c r="G235" s="3">
        <v>2016</v>
      </c>
      <c r="H235" s="3" t="str">
        <f>CONCATENATE("64240558755")</f>
        <v>64240558755</v>
      </c>
      <c r="I235" s="3" t="s">
        <v>25</v>
      </c>
      <c r="J235" s="3" t="s">
        <v>26</v>
      </c>
      <c r="K235" s="3" t="str">
        <f t="shared" si="11"/>
        <v/>
      </c>
      <c r="L235" s="3" t="str">
        <f>CONCATENATE("11 11.2 4b")</f>
        <v>11 11.2 4b</v>
      </c>
      <c r="M235" s="3" t="str">
        <f>CONCATENATE("CLDGNN60C03A662L")</f>
        <v>CLDGNN60C03A662L</v>
      </c>
      <c r="N235" s="3" t="s">
        <v>343</v>
      </c>
      <c r="O235" s="3"/>
      <c r="P235" s="4">
        <v>42783</v>
      </c>
      <c r="Q235" s="3" t="s">
        <v>27</v>
      </c>
      <c r="R235" s="3" t="s">
        <v>28</v>
      </c>
      <c r="S235" s="3" t="s">
        <v>29</v>
      </c>
      <c r="T235" s="3">
        <v>884</v>
      </c>
      <c r="U235" s="3">
        <v>381.18</v>
      </c>
      <c r="V235" s="3">
        <v>352.01</v>
      </c>
      <c r="W235" s="3">
        <v>150.81</v>
      </c>
    </row>
    <row r="236" spans="1:23" ht="60.75">
      <c r="A236" s="3" t="s">
        <v>23</v>
      </c>
      <c r="B236" s="3" t="s">
        <v>24</v>
      </c>
      <c r="C236" s="3" t="s">
        <v>35</v>
      </c>
      <c r="D236" s="3" t="s">
        <v>36</v>
      </c>
      <c r="E236" s="3" t="s">
        <v>30</v>
      </c>
      <c r="F236" s="3" t="s">
        <v>37</v>
      </c>
      <c r="G236" s="3">
        <v>2016</v>
      </c>
      <c r="H236" s="3" t="str">
        <f>CONCATENATE("64240577714")</f>
        <v>64240577714</v>
      </c>
      <c r="I236" s="3" t="s">
        <v>25</v>
      </c>
      <c r="J236" s="3" t="s">
        <v>26</v>
      </c>
      <c r="K236" s="3" t="str">
        <f t="shared" si="11"/>
        <v/>
      </c>
      <c r="L236" s="3" t="str">
        <f>CONCATENATE("10 10.1 4b")</f>
        <v>10 10.1 4b</v>
      </c>
      <c r="M236" s="3" t="str">
        <f>CONCATENATE("TMPQNT54R02G516T")</f>
        <v>TMPQNT54R02G516T</v>
      </c>
      <c r="N236" s="3" t="s">
        <v>344</v>
      </c>
      <c r="O236" s="3"/>
      <c r="P236" s="4">
        <v>42783</v>
      </c>
      <c r="Q236" s="3" t="s">
        <v>27</v>
      </c>
      <c r="R236" s="3" t="s">
        <v>28</v>
      </c>
      <c r="S236" s="3" t="s">
        <v>29</v>
      </c>
      <c r="T236" s="3">
        <v>962.4</v>
      </c>
      <c r="U236" s="3">
        <v>414.99</v>
      </c>
      <c r="V236" s="3">
        <v>383.23</v>
      </c>
      <c r="W236" s="3">
        <v>164.18</v>
      </c>
    </row>
    <row r="237" spans="1:23" ht="72.75">
      <c r="A237" s="3" t="s">
        <v>23</v>
      </c>
      <c r="B237" s="3" t="s">
        <v>24</v>
      </c>
      <c r="C237" s="3" t="s">
        <v>35</v>
      </c>
      <c r="D237" s="3" t="s">
        <v>48</v>
      </c>
      <c r="E237" s="3" t="s">
        <v>49</v>
      </c>
      <c r="F237" s="3" t="s">
        <v>74</v>
      </c>
      <c r="G237" s="3">
        <v>2016</v>
      </c>
      <c r="H237" s="3" t="str">
        <f>CONCATENATE("64240705141")</f>
        <v>64240705141</v>
      </c>
      <c r="I237" s="3" t="s">
        <v>25</v>
      </c>
      <c r="J237" s="3" t="s">
        <v>26</v>
      </c>
      <c r="K237" s="3" t="str">
        <f t="shared" si="11"/>
        <v/>
      </c>
      <c r="L237" s="3" t="str">
        <f>CONCATENATE("11 11.2 4b")</f>
        <v>11 11.2 4b</v>
      </c>
      <c r="M237" s="3" t="str">
        <f>CONCATENATE("NTLRRT80A14B474N")</f>
        <v>NTLRRT80A14B474N</v>
      </c>
      <c r="N237" s="3" t="s">
        <v>345</v>
      </c>
      <c r="O237" s="3"/>
      <c r="P237" s="4">
        <v>42783</v>
      </c>
      <c r="Q237" s="3" t="s">
        <v>27</v>
      </c>
      <c r="R237" s="3" t="s">
        <v>28</v>
      </c>
      <c r="S237" s="3" t="s">
        <v>29</v>
      </c>
      <c r="T237" s="5">
        <v>44836.36</v>
      </c>
      <c r="U237" s="5">
        <v>19333.439999999999</v>
      </c>
      <c r="V237" s="5">
        <v>17853.84</v>
      </c>
      <c r="W237" s="5">
        <v>7649.08</v>
      </c>
    </row>
    <row r="238" spans="1:23" ht="60.75">
      <c r="A238" s="3" t="s">
        <v>23</v>
      </c>
      <c r="B238" s="3" t="s">
        <v>24</v>
      </c>
      <c r="C238" s="3" t="s">
        <v>35</v>
      </c>
      <c r="D238" s="3" t="s">
        <v>48</v>
      </c>
      <c r="E238" s="3" t="s">
        <v>49</v>
      </c>
      <c r="F238" s="3" t="s">
        <v>50</v>
      </c>
      <c r="G238" s="3">
        <v>2016</v>
      </c>
      <c r="H238" s="3" t="str">
        <f>CONCATENATE("64240479432")</f>
        <v>64240479432</v>
      </c>
      <c r="I238" s="3" t="s">
        <v>31</v>
      </c>
      <c r="J238" s="3" t="s">
        <v>26</v>
      </c>
      <c r="K238" s="3" t="str">
        <f t="shared" si="11"/>
        <v/>
      </c>
      <c r="L238" s="3" t="str">
        <f>CONCATENATE("11 11.2 4b")</f>
        <v>11 11.2 4b</v>
      </c>
      <c r="M238" s="3" t="str">
        <f>CONCATENATE("ZGRRNT23A10G778X")</f>
        <v>ZGRRNT23A10G778X</v>
      </c>
      <c r="N238" s="3" t="s">
        <v>346</v>
      </c>
      <c r="O238" s="3"/>
      <c r="P238" s="4">
        <v>42783</v>
      </c>
      <c r="Q238" s="3" t="s">
        <v>27</v>
      </c>
      <c r="R238" s="3" t="s">
        <v>28</v>
      </c>
      <c r="S238" s="3" t="s">
        <v>29</v>
      </c>
      <c r="T238" s="3">
        <v>708.95</v>
      </c>
      <c r="U238" s="3">
        <v>305.7</v>
      </c>
      <c r="V238" s="3">
        <v>282.3</v>
      </c>
      <c r="W238" s="3">
        <v>120.95</v>
      </c>
    </row>
    <row r="239" spans="1:23" ht="60.75">
      <c r="A239" s="3" t="s">
        <v>23</v>
      </c>
      <c r="B239" s="3" t="s">
        <v>24</v>
      </c>
      <c r="C239" s="3" t="s">
        <v>35</v>
      </c>
      <c r="D239" s="3" t="s">
        <v>36</v>
      </c>
      <c r="E239" s="3" t="s">
        <v>32</v>
      </c>
      <c r="F239" s="3" t="s">
        <v>179</v>
      </c>
      <c r="G239" s="3">
        <v>2016</v>
      </c>
      <c r="H239" s="3" t="str">
        <f>CONCATENATE("64240578134")</f>
        <v>64240578134</v>
      </c>
      <c r="I239" s="3" t="s">
        <v>25</v>
      </c>
      <c r="J239" s="3" t="s">
        <v>26</v>
      </c>
      <c r="K239" s="3" t="str">
        <f t="shared" si="11"/>
        <v/>
      </c>
      <c r="L239" s="3" t="str">
        <f>CONCATENATE("10 10.1 4b")</f>
        <v>10 10.1 4b</v>
      </c>
      <c r="M239" s="3" t="str">
        <f>CONCATENATE("DLGVTR53T63G137Y")</f>
        <v>DLGVTR53T63G137Y</v>
      </c>
      <c r="N239" s="3" t="s">
        <v>347</v>
      </c>
      <c r="O239" s="3"/>
      <c r="P239" s="4">
        <v>42783</v>
      </c>
      <c r="Q239" s="3" t="s">
        <v>27</v>
      </c>
      <c r="R239" s="3" t="s">
        <v>28</v>
      </c>
      <c r="S239" s="3" t="s">
        <v>29</v>
      </c>
      <c r="T239" s="5">
        <v>4085.6</v>
      </c>
      <c r="U239" s="5">
        <v>1761.71</v>
      </c>
      <c r="V239" s="5">
        <v>1626.89</v>
      </c>
      <c r="W239" s="3">
        <v>697</v>
      </c>
    </row>
    <row r="240" spans="1:23" ht="60.75">
      <c r="A240" s="3" t="s">
        <v>23</v>
      </c>
      <c r="B240" s="3" t="s">
        <v>24</v>
      </c>
      <c r="C240" s="3" t="s">
        <v>35</v>
      </c>
      <c r="D240" s="3" t="s">
        <v>43</v>
      </c>
      <c r="E240" s="3" t="s">
        <v>30</v>
      </c>
      <c r="F240" s="3" t="s">
        <v>76</v>
      </c>
      <c r="G240" s="3">
        <v>2016</v>
      </c>
      <c r="H240" s="3" t="str">
        <f>CONCATENATE("64210209918")</f>
        <v>64210209918</v>
      </c>
      <c r="I240" s="3" t="s">
        <v>25</v>
      </c>
      <c r="J240" s="3" t="s">
        <v>26</v>
      </c>
      <c r="K240" s="3" t="str">
        <f t="shared" si="11"/>
        <v/>
      </c>
      <c r="L240" s="3" t="str">
        <f>CONCATENATE("13 13.1 4a")</f>
        <v>13 13.1 4a</v>
      </c>
      <c r="M240" s="3" t="str">
        <f>CONCATENATE("LRGGPP55R17I459R")</f>
        <v>LRGGPP55R17I459R</v>
      </c>
      <c r="N240" s="3" t="s">
        <v>348</v>
      </c>
      <c r="O240" s="3"/>
      <c r="P240" s="4">
        <v>42783</v>
      </c>
      <c r="Q240" s="3" t="s">
        <v>27</v>
      </c>
      <c r="R240" s="3" t="s">
        <v>28</v>
      </c>
      <c r="S240" s="3" t="s">
        <v>29</v>
      </c>
      <c r="T240" s="5">
        <v>1804.09</v>
      </c>
      <c r="U240" s="3">
        <v>777.92</v>
      </c>
      <c r="V240" s="3">
        <v>718.39</v>
      </c>
      <c r="W240" s="3">
        <v>307.77999999999997</v>
      </c>
    </row>
    <row r="241" spans="1:23" ht="60.75">
      <c r="A241" s="3" t="s">
        <v>23</v>
      </c>
      <c r="B241" s="3" t="s">
        <v>24</v>
      </c>
      <c r="C241" s="3" t="s">
        <v>35</v>
      </c>
      <c r="D241" s="3" t="s">
        <v>48</v>
      </c>
      <c r="E241" s="3" t="s">
        <v>30</v>
      </c>
      <c r="F241" s="3" t="s">
        <v>91</v>
      </c>
      <c r="G241" s="3">
        <v>2016</v>
      </c>
      <c r="H241" s="3" t="str">
        <f>CONCATENATE("64210579948")</f>
        <v>64210579948</v>
      </c>
      <c r="I241" s="3" t="s">
        <v>25</v>
      </c>
      <c r="J241" s="3" t="s">
        <v>26</v>
      </c>
      <c r="K241" s="3" t="str">
        <f t="shared" si="11"/>
        <v/>
      </c>
      <c r="L241" s="3" t="str">
        <f>CONCATENATE("13 13.1 4a")</f>
        <v>13 13.1 4a</v>
      </c>
      <c r="M241" s="3" t="str">
        <f>CONCATENATE("LBNLRT75S26B474K")</f>
        <v>LBNLRT75S26B474K</v>
      </c>
      <c r="N241" s="3" t="s">
        <v>349</v>
      </c>
      <c r="O241" s="3"/>
      <c r="P241" s="4">
        <v>42783</v>
      </c>
      <c r="Q241" s="3" t="s">
        <v>27</v>
      </c>
      <c r="R241" s="3" t="s">
        <v>28</v>
      </c>
      <c r="S241" s="3" t="s">
        <v>29</v>
      </c>
      <c r="T241" s="5">
        <v>3810.66</v>
      </c>
      <c r="U241" s="5">
        <v>1643.16</v>
      </c>
      <c r="V241" s="5">
        <v>1517.4</v>
      </c>
      <c r="W241" s="3">
        <v>650.1</v>
      </c>
    </row>
    <row r="242" spans="1:23" ht="60.75">
      <c r="A242" s="3" t="s">
        <v>23</v>
      </c>
      <c r="B242" s="3" t="s">
        <v>24</v>
      </c>
      <c r="C242" s="3" t="s">
        <v>35</v>
      </c>
      <c r="D242" s="3" t="s">
        <v>39</v>
      </c>
      <c r="E242" s="3" t="s">
        <v>30</v>
      </c>
      <c r="F242" s="3" t="s">
        <v>285</v>
      </c>
      <c r="G242" s="3">
        <v>2016</v>
      </c>
      <c r="H242" s="3" t="str">
        <f>CONCATENATE("64240592895")</f>
        <v>64240592895</v>
      </c>
      <c r="I242" s="3" t="s">
        <v>25</v>
      </c>
      <c r="J242" s="3" t="s">
        <v>26</v>
      </c>
      <c r="K242" s="3" t="str">
        <f t="shared" si="11"/>
        <v/>
      </c>
      <c r="L242" s="3" t="str">
        <f>CONCATENATE("11 11.1 4b")</f>
        <v>11 11.1 4b</v>
      </c>
      <c r="M242" s="3" t="str">
        <f>CONCATENATE("RSSRFL54B08A626R")</f>
        <v>RSSRFL54B08A626R</v>
      </c>
      <c r="N242" s="3" t="s">
        <v>350</v>
      </c>
      <c r="O242" s="3"/>
      <c r="P242" s="4">
        <v>42783</v>
      </c>
      <c r="Q242" s="3" t="s">
        <v>27</v>
      </c>
      <c r="R242" s="3" t="s">
        <v>28</v>
      </c>
      <c r="S242" s="3" t="s">
        <v>29</v>
      </c>
      <c r="T242" s="5">
        <v>1492.81</v>
      </c>
      <c r="U242" s="3">
        <v>643.70000000000005</v>
      </c>
      <c r="V242" s="3">
        <v>594.44000000000005</v>
      </c>
      <c r="W242" s="3">
        <v>254.67</v>
      </c>
    </row>
    <row r="243" spans="1:23" ht="60.75">
      <c r="A243" s="3" t="s">
        <v>23</v>
      </c>
      <c r="B243" s="3" t="s">
        <v>24</v>
      </c>
      <c r="C243" s="3" t="s">
        <v>35</v>
      </c>
      <c r="D243" s="3" t="s">
        <v>43</v>
      </c>
      <c r="E243" s="3" t="s">
        <v>32</v>
      </c>
      <c r="F243" s="3" t="s">
        <v>184</v>
      </c>
      <c r="G243" s="3">
        <v>2016</v>
      </c>
      <c r="H243" s="3" t="str">
        <f>CONCATENATE("64240697660")</f>
        <v>64240697660</v>
      </c>
      <c r="I243" s="3" t="s">
        <v>25</v>
      </c>
      <c r="J243" s="3" t="s">
        <v>26</v>
      </c>
      <c r="K243" s="3" t="str">
        <f t="shared" si="11"/>
        <v/>
      </c>
      <c r="L243" s="3" t="str">
        <f>CONCATENATE("11 11.2 4b")</f>
        <v>11 11.2 4b</v>
      </c>
      <c r="M243" s="3" t="str">
        <f>CONCATENATE("MCHJGN73D23A952L")</f>
        <v>MCHJGN73D23A952L</v>
      </c>
      <c r="N243" s="3" t="s">
        <v>351</v>
      </c>
      <c r="O243" s="3"/>
      <c r="P243" s="4">
        <v>42783</v>
      </c>
      <c r="Q243" s="3" t="s">
        <v>27</v>
      </c>
      <c r="R243" s="3" t="s">
        <v>28</v>
      </c>
      <c r="S243" s="3" t="s">
        <v>29</v>
      </c>
      <c r="T243" s="5">
        <v>4762.55</v>
      </c>
      <c r="U243" s="5">
        <v>2053.61</v>
      </c>
      <c r="V243" s="5">
        <v>1896.45</v>
      </c>
      <c r="W243" s="3">
        <v>812.49</v>
      </c>
    </row>
    <row r="244" spans="1:23" ht="60.75">
      <c r="A244" s="3" t="s">
        <v>23</v>
      </c>
      <c r="B244" s="3" t="s">
        <v>24</v>
      </c>
      <c r="C244" s="3" t="s">
        <v>35</v>
      </c>
      <c r="D244" s="3" t="s">
        <v>39</v>
      </c>
      <c r="E244" s="3" t="s">
        <v>100</v>
      </c>
      <c r="F244" s="3" t="s">
        <v>101</v>
      </c>
      <c r="G244" s="3">
        <v>2016</v>
      </c>
      <c r="H244" s="3" t="str">
        <f>CONCATENATE("64240676110")</f>
        <v>64240676110</v>
      </c>
      <c r="I244" s="3" t="s">
        <v>25</v>
      </c>
      <c r="J244" s="3" t="s">
        <v>26</v>
      </c>
      <c r="K244" s="3" t="str">
        <f t="shared" si="11"/>
        <v/>
      </c>
      <c r="L244" s="3" t="str">
        <f>CONCATENATE("11 11.2 4b")</f>
        <v>11 11.2 4b</v>
      </c>
      <c r="M244" s="3" t="str">
        <f>CONCATENATE("RBNMLR55P50B352D")</f>
        <v>RBNMLR55P50B352D</v>
      </c>
      <c r="N244" s="3" t="s">
        <v>352</v>
      </c>
      <c r="O244" s="3"/>
      <c r="P244" s="4">
        <v>42783</v>
      </c>
      <c r="Q244" s="3" t="s">
        <v>27</v>
      </c>
      <c r="R244" s="3" t="s">
        <v>28</v>
      </c>
      <c r="S244" s="3" t="s">
        <v>29</v>
      </c>
      <c r="T244" s="5">
        <v>10815.52</v>
      </c>
      <c r="U244" s="5">
        <v>4663.6499999999996</v>
      </c>
      <c r="V244" s="5">
        <v>4306.74</v>
      </c>
      <c r="W244" s="5">
        <v>1845.13</v>
      </c>
    </row>
    <row r="245" spans="1:23" ht="60.75">
      <c r="A245" s="3" t="s">
        <v>23</v>
      </c>
      <c r="B245" s="3" t="s">
        <v>24</v>
      </c>
      <c r="C245" s="3" t="s">
        <v>35</v>
      </c>
      <c r="D245" s="3" t="s">
        <v>48</v>
      </c>
      <c r="E245" s="3" t="s">
        <v>32</v>
      </c>
      <c r="F245" s="3" t="s">
        <v>129</v>
      </c>
      <c r="G245" s="3">
        <v>2016</v>
      </c>
      <c r="H245" s="3" t="str">
        <f>CONCATENATE("64240386405")</f>
        <v>64240386405</v>
      </c>
      <c r="I245" s="3" t="s">
        <v>25</v>
      </c>
      <c r="J245" s="3" t="s">
        <v>26</v>
      </c>
      <c r="K245" s="3" t="str">
        <f t="shared" si="11"/>
        <v/>
      </c>
      <c r="L245" s="3" t="str">
        <f>CONCATENATE("11 11.2 4b")</f>
        <v>11 11.2 4b</v>
      </c>
      <c r="M245" s="3" t="str">
        <f>CONCATENATE("MRNDNL64S44F051O")</f>
        <v>MRNDNL64S44F051O</v>
      </c>
      <c r="N245" s="3" t="s">
        <v>353</v>
      </c>
      <c r="O245" s="3"/>
      <c r="P245" s="4">
        <v>42783</v>
      </c>
      <c r="Q245" s="3" t="s">
        <v>27</v>
      </c>
      <c r="R245" s="3" t="s">
        <v>28</v>
      </c>
      <c r="S245" s="3" t="s">
        <v>29</v>
      </c>
      <c r="T245" s="5">
        <v>5431.73</v>
      </c>
      <c r="U245" s="5">
        <v>2342.16</v>
      </c>
      <c r="V245" s="5">
        <v>2162.91</v>
      </c>
      <c r="W245" s="3">
        <v>926.66</v>
      </c>
    </row>
    <row r="246" spans="1:23" ht="36.75">
      <c r="A246" s="3" t="s">
        <v>23</v>
      </c>
      <c r="B246" s="3" t="s">
        <v>24</v>
      </c>
      <c r="C246" s="3" t="s">
        <v>35</v>
      </c>
      <c r="D246" s="3" t="s">
        <v>48</v>
      </c>
      <c r="E246" s="3" t="s">
        <v>49</v>
      </c>
      <c r="F246" s="3" t="s">
        <v>80</v>
      </c>
      <c r="G246" s="3">
        <v>2016</v>
      </c>
      <c r="H246" s="3" t="str">
        <f>CONCATENATE("64240261749")</f>
        <v>64240261749</v>
      </c>
      <c r="I246" s="3" t="s">
        <v>25</v>
      </c>
      <c r="J246" s="3" t="s">
        <v>26</v>
      </c>
      <c r="K246" s="3" t="str">
        <f t="shared" si="11"/>
        <v/>
      </c>
      <c r="L246" s="3" t="str">
        <f>CONCATENATE("11 11.2 4b")</f>
        <v>11 11.2 4b</v>
      </c>
      <c r="M246" s="3" t="str">
        <f>CONCATENATE("01648640439")</f>
        <v>01648640439</v>
      </c>
      <c r="N246" s="3" t="s">
        <v>354</v>
      </c>
      <c r="O246" s="3"/>
      <c r="P246" s="4">
        <v>42783</v>
      </c>
      <c r="Q246" s="3" t="s">
        <v>27</v>
      </c>
      <c r="R246" s="3" t="s">
        <v>28</v>
      </c>
      <c r="S246" s="3" t="s">
        <v>29</v>
      </c>
      <c r="T246" s="5">
        <v>5067.38</v>
      </c>
      <c r="U246" s="5">
        <v>2185.0500000000002</v>
      </c>
      <c r="V246" s="5">
        <v>2017.83</v>
      </c>
      <c r="W246" s="3">
        <v>864.5</v>
      </c>
    </row>
    <row r="247" spans="1:23" ht="60.75">
      <c r="A247" s="3" t="s">
        <v>23</v>
      </c>
      <c r="B247" s="3" t="s">
        <v>24</v>
      </c>
      <c r="C247" s="3" t="s">
        <v>35</v>
      </c>
      <c r="D247" s="3" t="s">
        <v>48</v>
      </c>
      <c r="E247" s="3" t="s">
        <v>32</v>
      </c>
      <c r="F247" s="3" t="s">
        <v>355</v>
      </c>
      <c r="G247" s="3">
        <v>2016</v>
      </c>
      <c r="H247" s="3" t="str">
        <f>CONCATENATE("64240393179")</f>
        <v>64240393179</v>
      </c>
      <c r="I247" s="3" t="s">
        <v>31</v>
      </c>
      <c r="J247" s="3" t="s">
        <v>26</v>
      </c>
      <c r="K247" s="3" t="str">
        <f t="shared" si="11"/>
        <v/>
      </c>
      <c r="L247" s="3" t="str">
        <f>CONCATENATE("11 11.1 4b")</f>
        <v>11 11.1 4b</v>
      </c>
      <c r="M247" s="3" t="str">
        <f>CONCATENATE("BRNDNL74H22C704O")</f>
        <v>BRNDNL74H22C704O</v>
      </c>
      <c r="N247" s="3" t="s">
        <v>356</v>
      </c>
      <c r="O247" s="3"/>
      <c r="P247" s="4">
        <v>42783</v>
      </c>
      <c r="Q247" s="3" t="s">
        <v>27</v>
      </c>
      <c r="R247" s="3" t="s">
        <v>28</v>
      </c>
      <c r="S247" s="3" t="s">
        <v>29</v>
      </c>
      <c r="T247" s="3">
        <v>705.18</v>
      </c>
      <c r="U247" s="3">
        <v>304.07</v>
      </c>
      <c r="V247" s="3">
        <v>280.8</v>
      </c>
      <c r="W247" s="3">
        <v>120.31</v>
      </c>
    </row>
    <row r="248" spans="1:23" ht="60.75">
      <c r="A248" s="3" t="s">
        <v>23</v>
      </c>
      <c r="B248" s="3" t="s">
        <v>24</v>
      </c>
      <c r="C248" s="3" t="s">
        <v>35</v>
      </c>
      <c r="D248" s="3" t="s">
        <v>39</v>
      </c>
      <c r="E248" s="3" t="s">
        <v>32</v>
      </c>
      <c r="F248" s="3" t="s">
        <v>117</v>
      </c>
      <c r="G248" s="3">
        <v>2016</v>
      </c>
      <c r="H248" s="3" t="str">
        <f>CONCATENATE("64240485199")</f>
        <v>64240485199</v>
      </c>
      <c r="I248" s="3" t="s">
        <v>25</v>
      </c>
      <c r="J248" s="3" t="s">
        <v>26</v>
      </c>
      <c r="K248" s="3" t="str">
        <f t="shared" si="11"/>
        <v/>
      </c>
      <c r="L248" s="3" t="str">
        <f>CONCATENATE("11 11.2 4b")</f>
        <v>11 11.2 4b</v>
      </c>
      <c r="M248" s="3" t="str">
        <f>CONCATENATE("MRNRLA50E12F051L")</f>
        <v>MRNRLA50E12F051L</v>
      </c>
      <c r="N248" s="3" t="s">
        <v>357</v>
      </c>
      <c r="O248" s="3"/>
      <c r="P248" s="4">
        <v>42783</v>
      </c>
      <c r="Q248" s="3" t="s">
        <v>27</v>
      </c>
      <c r="R248" s="3" t="s">
        <v>28</v>
      </c>
      <c r="S248" s="3" t="s">
        <v>29</v>
      </c>
      <c r="T248" s="3">
        <v>768.37</v>
      </c>
      <c r="U248" s="3">
        <v>331.32</v>
      </c>
      <c r="V248" s="3">
        <v>305.95999999999998</v>
      </c>
      <c r="W248" s="3">
        <v>131.09</v>
      </c>
    </row>
    <row r="249" spans="1:23" ht="60.75">
      <c r="A249" s="3" t="s">
        <v>23</v>
      </c>
      <c r="B249" s="3" t="s">
        <v>24</v>
      </c>
      <c r="C249" s="3" t="s">
        <v>35</v>
      </c>
      <c r="D249" s="3" t="s">
        <v>48</v>
      </c>
      <c r="E249" s="3" t="s">
        <v>33</v>
      </c>
      <c r="F249" s="3" t="s">
        <v>358</v>
      </c>
      <c r="G249" s="3">
        <v>2016</v>
      </c>
      <c r="H249" s="3" t="str">
        <f>CONCATENATE("64240658183")</f>
        <v>64240658183</v>
      </c>
      <c r="I249" s="3" t="s">
        <v>25</v>
      </c>
      <c r="J249" s="3" t="s">
        <v>26</v>
      </c>
      <c r="K249" s="3" t="str">
        <f t="shared" si="11"/>
        <v/>
      </c>
      <c r="L249" s="3" t="str">
        <f>CONCATENATE("11 11.1 4b")</f>
        <v>11 11.1 4b</v>
      </c>
      <c r="M249" s="3" t="str">
        <f>CONCATENATE("SPDFBL67H64C704C")</f>
        <v>SPDFBL67H64C704C</v>
      </c>
      <c r="N249" s="3" t="s">
        <v>359</v>
      </c>
      <c r="O249" s="3"/>
      <c r="P249" s="4">
        <v>42783</v>
      </c>
      <c r="Q249" s="3" t="s">
        <v>27</v>
      </c>
      <c r="R249" s="3" t="s">
        <v>28</v>
      </c>
      <c r="S249" s="3" t="s">
        <v>29</v>
      </c>
      <c r="T249" s="5">
        <v>1333.49</v>
      </c>
      <c r="U249" s="3">
        <v>575</v>
      </c>
      <c r="V249" s="3">
        <v>531</v>
      </c>
      <c r="W249" s="3">
        <v>227.49</v>
      </c>
    </row>
    <row r="250" spans="1:23" ht="36.75">
      <c r="A250" s="3" t="s">
        <v>23</v>
      </c>
      <c r="B250" s="3" t="s">
        <v>24</v>
      </c>
      <c r="C250" s="3" t="s">
        <v>35</v>
      </c>
      <c r="D250" s="3" t="s">
        <v>36</v>
      </c>
      <c r="E250" s="3" t="s">
        <v>33</v>
      </c>
      <c r="F250" s="3" t="s">
        <v>360</v>
      </c>
      <c r="G250" s="3">
        <v>2016</v>
      </c>
      <c r="H250" s="3" t="str">
        <f>CONCATENATE("64240448783")</f>
        <v>64240448783</v>
      </c>
      <c r="I250" s="3" t="s">
        <v>31</v>
      </c>
      <c r="J250" s="3" t="s">
        <v>26</v>
      </c>
      <c r="K250" s="3" t="str">
        <f t="shared" si="11"/>
        <v/>
      </c>
      <c r="L250" s="3" t="str">
        <f>CONCATENATE("10 10.1 4b")</f>
        <v>10 10.1 4b</v>
      </c>
      <c r="M250" s="3" t="str">
        <f>CONCATENATE("01194690440")</f>
        <v>01194690440</v>
      </c>
      <c r="N250" s="3" t="s">
        <v>361</v>
      </c>
      <c r="O250" s="3"/>
      <c r="P250" s="4">
        <v>42783</v>
      </c>
      <c r="Q250" s="3" t="s">
        <v>27</v>
      </c>
      <c r="R250" s="3" t="s">
        <v>28</v>
      </c>
      <c r="S250" s="3" t="s">
        <v>29</v>
      </c>
      <c r="T250" s="5">
        <v>8895.69</v>
      </c>
      <c r="U250" s="5">
        <v>3835.82</v>
      </c>
      <c r="V250" s="5">
        <v>3542.26</v>
      </c>
      <c r="W250" s="5">
        <v>1517.61</v>
      </c>
    </row>
    <row r="251" spans="1:23" ht="60.75">
      <c r="A251" s="3" t="s">
        <v>23</v>
      </c>
      <c r="B251" s="3" t="s">
        <v>24</v>
      </c>
      <c r="C251" s="3" t="s">
        <v>35</v>
      </c>
      <c r="D251" s="3" t="s">
        <v>43</v>
      </c>
      <c r="E251" s="3" t="s">
        <v>30</v>
      </c>
      <c r="F251" s="3" t="s">
        <v>199</v>
      </c>
      <c r="G251" s="3">
        <v>2016</v>
      </c>
      <c r="H251" s="3" t="str">
        <f>CONCATENATE("64240758744")</f>
        <v>64240758744</v>
      </c>
      <c r="I251" s="3" t="s">
        <v>25</v>
      </c>
      <c r="J251" s="3" t="s">
        <v>26</v>
      </c>
      <c r="K251" s="3" t="str">
        <f t="shared" si="11"/>
        <v/>
      </c>
      <c r="L251" s="3" t="str">
        <f>CONCATENATE("11 11.2 4b")</f>
        <v>11 11.2 4b</v>
      </c>
      <c r="M251" s="3" t="str">
        <f>CONCATENATE("PCAGPP73L13G479B")</f>
        <v>PCAGPP73L13G479B</v>
      </c>
      <c r="N251" s="3" t="s">
        <v>362</v>
      </c>
      <c r="O251" s="3"/>
      <c r="P251" s="4">
        <v>42783</v>
      </c>
      <c r="Q251" s="3" t="s">
        <v>27</v>
      </c>
      <c r="R251" s="3" t="s">
        <v>28</v>
      </c>
      <c r="S251" s="3" t="s">
        <v>29</v>
      </c>
      <c r="T251" s="5">
        <v>1695.74</v>
      </c>
      <c r="U251" s="3">
        <v>731.2</v>
      </c>
      <c r="V251" s="3">
        <v>675.24</v>
      </c>
      <c r="W251" s="3">
        <v>289.3</v>
      </c>
    </row>
    <row r="252" spans="1:23" ht="36.75">
      <c r="A252" s="3" t="s">
        <v>23</v>
      </c>
      <c r="B252" s="3" t="s">
        <v>24</v>
      </c>
      <c r="C252" s="3" t="s">
        <v>35</v>
      </c>
      <c r="D252" s="3" t="s">
        <v>48</v>
      </c>
      <c r="E252" s="3" t="s">
        <v>30</v>
      </c>
      <c r="F252" s="3" t="s">
        <v>57</v>
      </c>
      <c r="G252" s="3">
        <v>2016</v>
      </c>
      <c r="H252" s="3" t="str">
        <f>CONCATENATE("64240389540")</f>
        <v>64240389540</v>
      </c>
      <c r="I252" s="3" t="s">
        <v>25</v>
      </c>
      <c r="J252" s="3" t="s">
        <v>26</v>
      </c>
      <c r="K252" s="3" t="str">
        <f t="shared" si="11"/>
        <v/>
      </c>
      <c r="L252" s="3" t="str">
        <f>CONCATENATE("11 11.1 4b")</f>
        <v>11 11.1 4b</v>
      </c>
      <c r="M252" s="3" t="str">
        <f>CONCATENATE("01914880438")</f>
        <v>01914880438</v>
      </c>
      <c r="N252" s="3" t="s">
        <v>363</v>
      </c>
      <c r="O252" s="3"/>
      <c r="P252" s="4">
        <v>42783</v>
      </c>
      <c r="Q252" s="3" t="s">
        <v>27</v>
      </c>
      <c r="R252" s="3" t="s">
        <v>28</v>
      </c>
      <c r="S252" s="3" t="s">
        <v>29</v>
      </c>
      <c r="T252" s="5">
        <v>5479.86</v>
      </c>
      <c r="U252" s="5">
        <v>2362.92</v>
      </c>
      <c r="V252" s="5">
        <v>2182.08</v>
      </c>
      <c r="W252" s="3">
        <v>934.86</v>
      </c>
    </row>
    <row r="253" spans="1:23" ht="60.75">
      <c r="A253" s="3" t="s">
        <v>23</v>
      </c>
      <c r="B253" s="3" t="s">
        <v>24</v>
      </c>
      <c r="C253" s="3" t="s">
        <v>35</v>
      </c>
      <c r="D253" s="3" t="s">
        <v>48</v>
      </c>
      <c r="E253" s="3" t="s">
        <v>34</v>
      </c>
      <c r="F253" s="3" t="s">
        <v>141</v>
      </c>
      <c r="G253" s="3">
        <v>2016</v>
      </c>
      <c r="H253" s="3" t="str">
        <f>CONCATENATE("64240734794")</f>
        <v>64240734794</v>
      </c>
      <c r="I253" s="3" t="s">
        <v>25</v>
      </c>
      <c r="J253" s="3" t="s">
        <v>26</v>
      </c>
      <c r="K253" s="3" t="str">
        <f t="shared" si="11"/>
        <v/>
      </c>
      <c r="L253" s="3" t="str">
        <f>CONCATENATE("11 11.2 4b")</f>
        <v>11 11.2 4b</v>
      </c>
      <c r="M253" s="3" t="str">
        <f>CONCATENATE("LZZCRL76B26H501D")</f>
        <v>LZZCRL76B26H501D</v>
      </c>
      <c r="N253" s="3" t="s">
        <v>364</v>
      </c>
      <c r="O253" s="3"/>
      <c r="P253" s="4">
        <v>42783</v>
      </c>
      <c r="Q253" s="3" t="s">
        <v>27</v>
      </c>
      <c r="R253" s="3" t="s">
        <v>28</v>
      </c>
      <c r="S253" s="3" t="s">
        <v>29</v>
      </c>
      <c r="T253" s="5">
        <v>3406.37</v>
      </c>
      <c r="U253" s="5">
        <v>1468.83</v>
      </c>
      <c r="V253" s="5">
        <v>1356.42</v>
      </c>
      <c r="W253" s="3">
        <v>581.12</v>
      </c>
    </row>
    <row r="254" spans="1:23" ht="60.75">
      <c r="A254" s="3" t="s">
        <v>23</v>
      </c>
      <c r="B254" s="3" t="s">
        <v>24</v>
      </c>
      <c r="C254" s="3" t="s">
        <v>35</v>
      </c>
      <c r="D254" s="3" t="s">
        <v>48</v>
      </c>
      <c r="E254" s="3" t="s">
        <v>30</v>
      </c>
      <c r="F254" s="3" t="s">
        <v>91</v>
      </c>
      <c r="G254" s="3">
        <v>2016</v>
      </c>
      <c r="H254" s="3" t="str">
        <f>CONCATENATE("64210531626")</f>
        <v>64210531626</v>
      </c>
      <c r="I254" s="3" t="s">
        <v>25</v>
      </c>
      <c r="J254" s="3" t="s">
        <v>26</v>
      </c>
      <c r="K254" s="3" t="str">
        <f t="shared" si="11"/>
        <v/>
      </c>
      <c r="L254" s="3" t="str">
        <f>CONCATENATE("13 13.1 4a")</f>
        <v>13 13.1 4a</v>
      </c>
      <c r="M254" s="3" t="str">
        <f>CONCATENATE("SBRLBR49L31B474W")</f>
        <v>SBRLBR49L31B474W</v>
      </c>
      <c r="N254" s="3" t="s">
        <v>365</v>
      </c>
      <c r="O254" s="3"/>
      <c r="P254" s="4">
        <v>42783</v>
      </c>
      <c r="Q254" s="3" t="s">
        <v>27</v>
      </c>
      <c r="R254" s="3" t="s">
        <v>28</v>
      </c>
      <c r="S254" s="3" t="s">
        <v>29</v>
      </c>
      <c r="T254" s="5">
        <v>4590</v>
      </c>
      <c r="U254" s="5">
        <v>1979.21</v>
      </c>
      <c r="V254" s="5">
        <v>1827.74</v>
      </c>
      <c r="W254" s="3">
        <v>783.05</v>
      </c>
    </row>
    <row r="255" spans="1:23" ht="60.75">
      <c r="A255" s="3" t="s">
        <v>23</v>
      </c>
      <c r="B255" s="3" t="s">
        <v>24</v>
      </c>
      <c r="C255" s="3" t="s">
        <v>35</v>
      </c>
      <c r="D255" s="3" t="s">
        <v>48</v>
      </c>
      <c r="E255" s="3" t="s">
        <v>30</v>
      </c>
      <c r="F255" s="3" t="s">
        <v>91</v>
      </c>
      <c r="G255" s="3">
        <v>2016</v>
      </c>
      <c r="H255" s="3" t="str">
        <f>CONCATENATE("64240263513")</f>
        <v>64240263513</v>
      </c>
      <c r="I255" s="3" t="s">
        <v>25</v>
      </c>
      <c r="J255" s="3" t="s">
        <v>26</v>
      </c>
      <c r="K255" s="3" t="str">
        <f t="shared" si="11"/>
        <v/>
      </c>
      <c r="L255" s="3" t="str">
        <f>CONCATENATE("11 11.2 4b")</f>
        <v>11 11.2 4b</v>
      </c>
      <c r="M255" s="3" t="str">
        <f>CONCATENATE("PLDFNC39T15I569K")</f>
        <v>PLDFNC39T15I569K</v>
      </c>
      <c r="N255" s="3" t="s">
        <v>366</v>
      </c>
      <c r="O255" s="3"/>
      <c r="P255" s="4">
        <v>42783</v>
      </c>
      <c r="Q255" s="3" t="s">
        <v>27</v>
      </c>
      <c r="R255" s="3" t="s">
        <v>28</v>
      </c>
      <c r="S255" s="3" t="s">
        <v>29</v>
      </c>
      <c r="T255" s="5">
        <v>10349.57</v>
      </c>
      <c r="U255" s="5">
        <v>4462.7299999999996</v>
      </c>
      <c r="V255" s="5">
        <v>4121.2</v>
      </c>
      <c r="W255" s="5">
        <v>1765.64</v>
      </c>
    </row>
    <row r="256" spans="1:23" ht="60.75">
      <c r="A256" s="3" t="s">
        <v>23</v>
      </c>
      <c r="B256" s="3" t="s">
        <v>24</v>
      </c>
      <c r="C256" s="3" t="s">
        <v>35</v>
      </c>
      <c r="D256" s="3" t="s">
        <v>36</v>
      </c>
      <c r="E256" s="3" t="s">
        <v>42</v>
      </c>
      <c r="F256" s="3" t="s">
        <v>42</v>
      </c>
      <c r="G256" s="3">
        <v>2016</v>
      </c>
      <c r="H256" s="3" t="str">
        <f>CONCATENATE("64240741484")</f>
        <v>64240741484</v>
      </c>
      <c r="I256" s="3" t="s">
        <v>25</v>
      </c>
      <c r="J256" s="3" t="s">
        <v>26</v>
      </c>
      <c r="K256" s="3" t="str">
        <f t="shared" si="11"/>
        <v/>
      </c>
      <c r="L256" s="3" t="str">
        <f>CONCATENATE("11 11.1 4b")</f>
        <v>11 11.1 4b</v>
      </c>
      <c r="M256" s="3" t="str">
        <f>CONCATENATE("KDRNNI85L53Z138L")</f>
        <v>KDRNNI85L53Z138L</v>
      </c>
      <c r="N256" s="3" t="s">
        <v>367</v>
      </c>
      <c r="O256" s="3"/>
      <c r="P256" s="4">
        <v>42783</v>
      </c>
      <c r="Q256" s="3" t="s">
        <v>27</v>
      </c>
      <c r="R256" s="3" t="s">
        <v>28</v>
      </c>
      <c r="S256" s="3" t="s">
        <v>29</v>
      </c>
      <c r="T256" s="5">
        <v>1394.69</v>
      </c>
      <c r="U256" s="3">
        <v>601.39</v>
      </c>
      <c r="V256" s="3">
        <v>555.37</v>
      </c>
      <c r="W256" s="3">
        <v>237.93</v>
      </c>
    </row>
    <row r="257" spans="1:23" ht="36.75">
      <c r="A257" s="3" t="s">
        <v>23</v>
      </c>
      <c r="B257" s="3" t="s">
        <v>24</v>
      </c>
      <c r="C257" s="3" t="s">
        <v>35</v>
      </c>
      <c r="D257" s="3" t="s">
        <v>48</v>
      </c>
      <c r="E257" s="3" t="s">
        <v>30</v>
      </c>
      <c r="F257" s="3" t="s">
        <v>157</v>
      </c>
      <c r="G257" s="3">
        <v>2016</v>
      </c>
      <c r="H257" s="3" t="str">
        <f>CONCATENATE("64240775326")</f>
        <v>64240775326</v>
      </c>
      <c r="I257" s="3" t="s">
        <v>25</v>
      </c>
      <c r="J257" s="3" t="s">
        <v>26</v>
      </c>
      <c r="K257" s="3" t="str">
        <f t="shared" si="11"/>
        <v/>
      </c>
      <c r="L257" s="3" t="str">
        <f>CONCATENATE("11 11.2 4b")</f>
        <v>11 11.2 4b</v>
      </c>
      <c r="M257" s="3" t="str">
        <f>CONCATENATE("01727390435")</f>
        <v>01727390435</v>
      </c>
      <c r="N257" s="3" t="s">
        <v>368</v>
      </c>
      <c r="O257" s="3"/>
      <c r="P257" s="4">
        <v>42783</v>
      </c>
      <c r="Q257" s="3" t="s">
        <v>27</v>
      </c>
      <c r="R257" s="3" t="s">
        <v>28</v>
      </c>
      <c r="S257" s="3" t="s">
        <v>29</v>
      </c>
      <c r="T257" s="5">
        <v>33949.53</v>
      </c>
      <c r="U257" s="5">
        <v>14639.04</v>
      </c>
      <c r="V257" s="5">
        <v>13518.7</v>
      </c>
      <c r="W257" s="5">
        <v>5791.79</v>
      </c>
    </row>
    <row r="258" spans="1:23" ht="36.75">
      <c r="A258" s="3" t="s">
        <v>23</v>
      </c>
      <c r="B258" s="3" t="s">
        <v>24</v>
      </c>
      <c r="C258" s="3" t="s">
        <v>35</v>
      </c>
      <c r="D258" s="3" t="s">
        <v>43</v>
      </c>
      <c r="E258" s="3" t="s">
        <v>33</v>
      </c>
      <c r="F258" s="3" t="s">
        <v>122</v>
      </c>
      <c r="G258" s="3">
        <v>2016</v>
      </c>
      <c r="H258" s="3" t="str">
        <f>CONCATENATE("64210925927")</f>
        <v>64210925927</v>
      </c>
      <c r="I258" s="3" t="s">
        <v>25</v>
      </c>
      <c r="J258" s="3" t="s">
        <v>26</v>
      </c>
      <c r="K258" s="3" t="str">
        <f t="shared" si="11"/>
        <v/>
      </c>
      <c r="L258" s="3" t="str">
        <f>CONCATENATE("13 13.1 4a")</f>
        <v>13 13.1 4a</v>
      </c>
      <c r="M258" s="3" t="str">
        <f>CONCATENATE("01388170415")</f>
        <v>01388170415</v>
      </c>
      <c r="N258" s="3" t="s">
        <v>369</v>
      </c>
      <c r="O258" s="3"/>
      <c r="P258" s="4">
        <v>42783</v>
      </c>
      <c r="Q258" s="3" t="s">
        <v>27</v>
      </c>
      <c r="R258" s="3" t="s">
        <v>28</v>
      </c>
      <c r="S258" s="3" t="s">
        <v>29</v>
      </c>
      <c r="T258" s="5">
        <v>4544.1000000000004</v>
      </c>
      <c r="U258" s="5">
        <v>1959.42</v>
      </c>
      <c r="V258" s="5">
        <v>1809.46</v>
      </c>
      <c r="W258" s="3">
        <v>775.22</v>
      </c>
    </row>
    <row r="259" spans="1:23" ht="36.75">
      <c r="A259" s="3" t="s">
        <v>23</v>
      </c>
      <c r="B259" s="3" t="s">
        <v>24</v>
      </c>
      <c r="C259" s="3" t="s">
        <v>35</v>
      </c>
      <c r="D259" s="3" t="s">
        <v>43</v>
      </c>
      <c r="E259" s="3" t="s">
        <v>33</v>
      </c>
      <c r="F259" s="3" t="s">
        <v>46</v>
      </c>
      <c r="G259" s="3">
        <v>2016</v>
      </c>
      <c r="H259" s="3" t="str">
        <f>CONCATENATE("64240694808")</f>
        <v>64240694808</v>
      </c>
      <c r="I259" s="3" t="s">
        <v>25</v>
      </c>
      <c r="J259" s="3" t="s">
        <v>26</v>
      </c>
      <c r="K259" s="3" t="str">
        <f t="shared" si="11"/>
        <v/>
      </c>
      <c r="L259" s="3" t="str">
        <f>CONCATENATE("11 11.2 4b")</f>
        <v>11 11.2 4b</v>
      </c>
      <c r="M259" s="3" t="str">
        <f>CONCATENATE("02545000412")</f>
        <v>02545000412</v>
      </c>
      <c r="N259" s="3" t="s">
        <v>370</v>
      </c>
      <c r="O259" s="3"/>
      <c r="P259" s="4">
        <v>42783</v>
      </c>
      <c r="Q259" s="3" t="s">
        <v>27</v>
      </c>
      <c r="R259" s="3" t="s">
        <v>28</v>
      </c>
      <c r="S259" s="3" t="s">
        <v>29</v>
      </c>
      <c r="T259" s="5">
        <v>1813.93</v>
      </c>
      <c r="U259" s="3">
        <v>782.17</v>
      </c>
      <c r="V259" s="3">
        <v>722.31</v>
      </c>
      <c r="W259" s="3">
        <v>309.45</v>
      </c>
    </row>
    <row r="260" spans="1:23" ht="60.75">
      <c r="A260" s="3" t="s">
        <v>23</v>
      </c>
      <c r="B260" s="3" t="s">
        <v>24</v>
      </c>
      <c r="C260" s="3" t="s">
        <v>35</v>
      </c>
      <c r="D260" s="3" t="s">
        <v>39</v>
      </c>
      <c r="E260" s="3" t="s">
        <v>32</v>
      </c>
      <c r="F260" s="3" t="s">
        <v>117</v>
      </c>
      <c r="G260" s="3">
        <v>2016</v>
      </c>
      <c r="H260" s="3" t="str">
        <f>CONCATENATE("64240542445")</f>
        <v>64240542445</v>
      </c>
      <c r="I260" s="3" t="s">
        <v>25</v>
      </c>
      <c r="J260" s="3" t="s">
        <v>26</v>
      </c>
      <c r="K260" s="3" t="str">
        <f t="shared" si="11"/>
        <v/>
      </c>
      <c r="L260" s="3" t="str">
        <f>CONCATENATE("11 11.2 4b")</f>
        <v>11 11.2 4b</v>
      </c>
      <c r="M260" s="3" t="str">
        <f>CONCATENATE("SNGNNA45M46I608K")</f>
        <v>SNGNNA45M46I608K</v>
      </c>
      <c r="N260" s="3" t="s">
        <v>371</v>
      </c>
      <c r="O260" s="3"/>
      <c r="P260" s="4">
        <v>42783</v>
      </c>
      <c r="Q260" s="3" t="s">
        <v>27</v>
      </c>
      <c r="R260" s="3" t="s">
        <v>28</v>
      </c>
      <c r="S260" s="3" t="s">
        <v>29</v>
      </c>
      <c r="T260" s="5">
        <v>4274.82</v>
      </c>
      <c r="U260" s="5">
        <v>1843.3</v>
      </c>
      <c r="V260" s="5">
        <v>1702.23</v>
      </c>
      <c r="W260" s="3">
        <v>729.29</v>
      </c>
    </row>
    <row r="261" spans="1:23" ht="60.75">
      <c r="A261" s="3" t="s">
        <v>23</v>
      </c>
      <c r="B261" s="3" t="s">
        <v>24</v>
      </c>
      <c r="C261" s="3" t="s">
        <v>35</v>
      </c>
      <c r="D261" s="3" t="s">
        <v>43</v>
      </c>
      <c r="E261" s="3" t="s">
        <v>30</v>
      </c>
      <c r="F261" s="3" t="s">
        <v>109</v>
      </c>
      <c r="G261" s="3">
        <v>2016</v>
      </c>
      <c r="H261" s="3" t="str">
        <f>CONCATENATE("64210816985")</f>
        <v>64210816985</v>
      </c>
      <c r="I261" s="3" t="s">
        <v>25</v>
      </c>
      <c r="J261" s="3" t="s">
        <v>26</v>
      </c>
      <c r="K261" s="3" t="str">
        <f t="shared" si="11"/>
        <v/>
      </c>
      <c r="L261" s="3" t="str">
        <f>CONCATENATE("13 13.1 4a")</f>
        <v>13 13.1 4a</v>
      </c>
      <c r="M261" s="3" t="str">
        <f>CONCATENATE("CCCRTT69R55D451Z")</f>
        <v>CCCRTT69R55D451Z</v>
      </c>
      <c r="N261" s="3" t="s">
        <v>270</v>
      </c>
      <c r="O261" s="3"/>
      <c r="P261" s="4">
        <v>42783</v>
      </c>
      <c r="Q261" s="3" t="s">
        <v>27</v>
      </c>
      <c r="R261" s="3" t="s">
        <v>28</v>
      </c>
      <c r="S261" s="3" t="s">
        <v>29</v>
      </c>
      <c r="T261" s="5">
        <v>4590</v>
      </c>
      <c r="U261" s="5">
        <v>1979.21</v>
      </c>
      <c r="V261" s="5">
        <v>1827.74</v>
      </c>
      <c r="W261" s="3">
        <v>783.05</v>
      </c>
    </row>
    <row r="262" spans="1:23" ht="60.75">
      <c r="A262" s="3" t="s">
        <v>23</v>
      </c>
      <c r="B262" s="3" t="s">
        <v>24</v>
      </c>
      <c r="C262" s="3" t="s">
        <v>35</v>
      </c>
      <c r="D262" s="3" t="s">
        <v>36</v>
      </c>
      <c r="E262" s="3" t="s">
        <v>30</v>
      </c>
      <c r="F262" s="3" t="s">
        <v>257</v>
      </c>
      <c r="G262" s="3">
        <v>2016</v>
      </c>
      <c r="H262" s="3" t="str">
        <f>CONCATENATE("64240724878")</f>
        <v>64240724878</v>
      </c>
      <c r="I262" s="3" t="s">
        <v>25</v>
      </c>
      <c r="J262" s="3" t="s">
        <v>26</v>
      </c>
      <c r="K262" s="3" t="str">
        <f t="shared" si="11"/>
        <v/>
      </c>
      <c r="L262" s="3" t="str">
        <f>CONCATENATE("10 10.1 4a")</f>
        <v>10 10.1 4a</v>
      </c>
      <c r="M262" s="3" t="str">
        <f>CONCATENATE("BRDRSN69E12D542A")</f>
        <v>BRDRSN69E12D542A</v>
      </c>
      <c r="N262" s="3" t="s">
        <v>372</v>
      </c>
      <c r="O262" s="3"/>
      <c r="P262" s="4">
        <v>42783</v>
      </c>
      <c r="Q262" s="3" t="s">
        <v>27</v>
      </c>
      <c r="R262" s="3" t="s">
        <v>28</v>
      </c>
      <c r="S262" s="3" t="s">
        <v>29</v>
      </c>
      <c r="T262" s="3">
        <v>190.76</v>
      </c>
      <c r="U262" s="3">
        <v>82.26</v>
      </c>
      <c r="V262" s="3">
        <v>75.959999999999994</v>
      </c>
      <c r="W262" s="3">
        <v>32.54</v>
      </c>
    </row>
    <row r="263" spans="1:23" ht="60.75">
      <c r="A263" s="3" t="s">
        <v>23</v>
      </c>
      <c r="B263" s="3" t="s">
        <v>24</v>
      </c>
      <c r="C263" s="3" t="s">
        <v>35</v>
      </c>
      <c r="D263" s="3" t="s">
        <v>48</v>
      </c>
      <c r="E263" s="3" t="s">
        <v>30</v>
      </c>
      <c r="F263" s="3" t="s">
        <v>57</v>
      </c>
      <c r="G263" s="3">
        <v>2016</v>
      </c>
      <c r="H263" s="3" t="str">
        <f>CONCATENATE("64210526188")</f>
        <v>64210526188</v>
      </c>
      <c r="I263" s="3" t="s">
        <v>25</v>
      </c>
      <c r="J263" s="3" t="s">
        <v>26</v>
      </c>
      <c r="K263" s="3" t="str">
        <f t="shared" si="11"/>
        <v/>
      </c>
      <c r="L263" s="3" t="str">
        <f>CONCATENATE("13 13.1 4a")</f>
        <v>13 13.1 4a</v>
      </c>
      <c r="M263" s="3" t="str">
        <f>CONCATENATE("RSLNZE51C21B562M")</f>
        <v>RSLNZE51C21B562M</v>
      </c>
      <c r="N263" s="3" t="s">
        <v>373</v>
      </c>
      <c r="O263" s="3"/>
      <c r="P263" s="4">
        <v>42783</v>
      </c>
      <c r="Q263" s="3" t="s">
        <v>27</v>
      </c>
      <c r="R263" s="3" t="s">
        <v>28</v>
      </c>
      <c r="S263" s="3" t="s">
        <v>29</v>
      </c>
      <c r="T263" s="3">
        <v>841.72</v>
      </c>
      <c r="U263" s="3">
        <v>362.95</v>
      </c>
      <c r="V263" s="3">
        <v>335.17</v>
      </c>
      <c r="W263" s="3">
        <v>143.6</v>
      </c>
    </row>
    <row r="264" spans="1:23" ht="60.75">
      <c r="A264" s="3" t="s">
        <v>23</v>
      </c>
      <c r="B264" s="3" t="s">
        <v>24</v>
      </c>
      <c r="C264" s="3" t="s">
        <v>35</v>
      </c>
      <c r="D264" s="3" t="s">
        <v>36</v>
      </c>
      <c r="E264" s="3" t="s">
        <v>32</v>
      </c>
      <c r="F264" s="3" t="s">
        <v>208</v>
      </c>
      <c r="G264" s="3">
        <v>2016</v>
      </c>
      <c r="H264" s="3" t="str">
        <f>CONCATENATE("64240237343")</f>
        <v>64240237343</v>
      </c>
      <c r="I264" s="3" t="s">
        <v>25</v>
      </c>
      <c r="J264" s="3" t="s">
        <v>26</v>
      </c>
      <c r="K264" s="3" t="str">
        <f t="shared" ref="K264:K300" si="13">CONCATENATE("")</f>
        <v/>
      </c>
      <c r="L264" s="3" t="str">
        <f>CONCATENATE("11 11.1 4b")</f>
        <v>11 11.1 4b</v>
      </c>
      <c r="M264" s="3" t="str">
        <f>CONCATENATE("GRLWTR91S07H769J")</f>
        <v>GRLWTR91S07H769J</v>
      </c>
      <c r="N264" s="3" t="s">
        <v>374</v>
      </c>
      <c r="O264" s="3"/>
      <c r="P264" s="4">
        <v>42783</v>
      </c>
      <c r="Q264" s="3" t="s">
        <v>27</v>
      </c>
      <c r="R264" s="3" t="s">
        <v>28</v>
      </c>
      <c r="S264" s="3" t="s">
        <v>29</v>
      </c>
      <c r="T264" s="5">
        <v>2572.84</v>
      </c>
      <c r="U264" s="5">
        <v>1109.4100000000001</v>
      </c>
      <c r="V264" s="5">
        <v>1024.5</v>
      </c>
      <c r="W264" s="3">
        <v>438.93</v>
      </c>
    </row>
    <row r="265" spans="1:23" ht="36.75">
      <c r="A265" s="3" t="s">
        <v>23</v>
      </c>
      <c r="B265" s="3" t="s">
        <v>24</v>
      </c>
      <c r="C265" s="3" t="s">
        <v>35</v>
      </c>
      <c r="D265" s="3" t="s">
        <v>48</v>
      </c>
      <c r="E265" s="3" t="s">
        <v>30</v>
      </c>
      <c r="F265" s="3" t="s">
        <v>91</v>
      </c>
      <c r="G265" s="3">
        <v>2016</v>
      </c>
      <c r="H265" s="3" t="str">
        <f>CONCATENATE("64240312856")</f>
        <v>64240312856</v>
      </c>
      <c r="I265" s="3" t="s">
        <v>25</v>
      </c>
      <c r="J265" s="3" t="s">
        <v>26</v>
      </c>
      <c r="K265" s="3" t="str">
        <f t="shared" si="13"/>
        <v/>
      </c>
      <c r="L265" s="3" t="str">
        <f>CONCATENATE("11 11.2 4b")</f>
        <v>11 11.2 4b</v>
      </c>
      <c r="M265" s="3" t="str">
        <f>CONCATENATE("01238480436")</f>
        <v>01238480436</v>
      </c>
      <c r="N265" s="3" t="s">
        <v>375</v>
      </c>
      <c r="O265" s="3"/>
      <c r="P265" s="4">
        <v>42783</v>
      </c>
      <c r="Q265" s="3" t="s">
        <v>27</v>
      </c>
      <c r="R265" s="3" t="s">
        <v>28</v>
      </c>
      <c r="S265" s="3" t="s">
        <v>29</v>
      </c>
      <c r="T265" s="5">
        <v>1053.05</v>
      </c>
      <c r="U265" s="3">
        <v>454.08</v>
      </c>
      <c r="V265" s="3">
        <v>419.32</v>
      </c>
      <c r="W265" s="3">
        <v>179.65</v>
      </c>
    </row>
    <row r="266" spans="1:23" ht="60.75">
      <c r="A266" s="3" t="s">
        <v>23</v>
      </c>
      <c r="B266" s="3" t="s">
        <v>24</v>
      </c>
      <c r="C266" s="3" t="s">
        <v>35</v>
      </c>
      <c r="D266" s="3" t="s">
        <v>39</v>
      </c>
      <c r="E266" s="3" t="s">
        <v>32</v>
      </c>
      <c r="F266" s="3" t="s">
        <v>69</v>
      </c>
      <c r="G266" s="3">
        <v>2016</v>
      </c>
      <c r="H266" s="3" t="str">
        <f>CONCATENATE("64210334948")</f>
        <v>64210334948</v>
      </c>
      <c r="I266" s="3" t="s">
        <v>25</v>
      </c>
      <c r="J266" s="3" t="s">
        <v>26</v>
      </c>
      <c r="K266" s="3" t="str">
        <f t="shared" si="13"/>
        <v/>
      </c>
      <c r="L266" s="3" t="str">
        <f>CONCATENATE("13 13.1 4a")</f>
        <v>13 13.1 4a</v>
      </c>
      <c r="M266" s="3" t="str">
        <f>CONCATENATE("PLLFNC54E24D451V")</f>
        <v>PLLFNC54E24D451V</v>
      </c>
      <c r="N266" s="3" t="s">
        <v>376</v>
      </c>
      <c r="O266" s="3"/>
      <c r="P266" s="4">
        <v>42783</v>
      </c>
      <c r="Q266" s="3" t="s">
        <v>27</v>
      </c>
      <c r="R266" s="3" t="s">
        <v>28</v>
      </c>
      <c r="S266" s="3" t="s">
        <v>29</v>
      </c>
      <c r="T266" s="5">
        <v>3988.57</v>
      </c>
      <c r="U266" s="5">
        <v>1719.87</v>
      </c>
      <c r="V266" s="5">
        <v>1588.25</v>
      </c>
      <c r="W266" s="3">
        <v>680.45</v>
      </c>
    </row>
    <row r="267" spans="1:23" ht="60.75">
      <c r="A267" s="3" t="s">
        <v>23</v>
      </c>
      <c r="B267" s="3" t="s">
        <v>24</v>
      </c>
      <c r="C267" s="3" t="s">
        <v>35</v>
      </c>
      <c r="D267" s="3" t="s">
        <v>36</v>
      </c>
      <c r="E267" s="3" t="s">
        <v>33</v>
      </c>
      <c r="F267" s="3" t="s">
        <v>192</v>
      </c>
      <c r="G267" s="3">
        <v>2016</v>
      </c>
      <c r="H267" s="3" t="str">
        <f>CONCATENATE("64240259446")</f>
        <v>64240259446</v>
      </c>
      <c r="I267" s="3" t="s">
        <v>25</v>
      </c>
      <c r="J267" s="3" t="s">
        <v>26</v>
      </c>
      <c r="K267" s="3" t="str">
        <f t="shared" si="13"/>
        <v/>
      </c>
      <c r="L267" s="3" t="str">
        <f>CONCATENATE("11 11.2 4b")</f>
        <v>11 11.2 4b</v>
      </c>
      <c r="M267" s="3" t="str">
        <f>CONCATENATE("NGLNLN48M70C321K")</f>
        <v>NGLNLN48M70C321K</v>
      </c>
      <c r="N267" s="3" t="s">
        <v>377</v>
      </c>
      <c r="O267" s="3"/>
      <c r="P267" s="4">
        <v>42783</v>
      </c>
      <c r="Q267" s="3" t="s">
        <v>27</v>
      </c>
      <c r="R267" s="3" t="s">
        <v>28</v>
      </c>
      <c r="S267" s="3" t="s">
        <v>29</v>
      </c>
      <c r="T267" s="5">
        <v>2683.61</v>
      </c>
      <c r="U267" s="5">
        <v>1157.17</v>
      </c>
      <c r="V267" s="5">
        <v>1068.6099999999999</v>
      </c>
      <c r="W267" s="3">
        <v>457.83</v>
      </c>
    </row>
    <row r="268" spans="1:23" ht="60.75">
      <c r="A268" s="3" t="s">
        <v>23</v>
      </c>
      <c r="B268" s="3" t="s">
        <v>24</v>
      </c>
      <c r="C268" s="3" t="s">
        <v>35</v>
      </c>
      <c r="D268" s="3" t="s">
        <v>39</v>
      </c>
      <c r="E268" s="3" t="s">
        <v>30</v>
      </c>
      <c r="F268" s="3" t="s">
        <v>40</v>
      </c>
      <c r="G268" s="3">
        <v>2016</v>
      </c>
      <c r="H268" s="3" t="str">
        <f>CONCATENATE("64240529657")</f>
        <v>64240529657</v>
      </c>
      <c r="I268" s="3" t="s">
        <v>25</v>
      </c>
      <c r="J268" s="3" t="s">
        <v>26</v>
      </c>
      <c r="K268" s="3" t="str">
        <f t="shared" si="13"/>
        <v/>
      </c>
      <c r="L268" s="3" t="str">
        <f>CONCATENATE("11 11.2 4b")</f>
        <v>11 11.2 4b</v>
      </c>
      <c r="M268" s="3" t="str">
        <f>CONCATENATE("GGLPLA86L25H501E")</f>
        <v>GGLPLA86L25H501E</v>
      </c>
      <c r="N268" s="3" t="s">
        <v>378</v>
      </c>
      <c r="O268" s="3"/>
      <c r="P268" s="4">
        <v>42783</v>
      </c>
      <c r="Q268" s="3" t="s">
        <v>27</v>
      </c>
      <c r="R268" s="3" t="s">
        <v>28</v>
      </c>
      <c r="S268" s="3" t="s">
        <v>29</v>
      </c>
      <c r="T268" s="5">
        <v>3263.4</v>
      </c>
      <c r="U268" s="5">
        <v>1407.18</v>
      </c>
      <c r="V268" s="5">
        <v>1299.49</v>
      </c>
      <c r="W268" s="3">
        <v>556.73</v>
      </c>
    </row>
    <row r="269" spans="1:23" ht="60.75">
      <c r="A269" s="3" t="s">
        <v>23</v>
      </c>
      <c r="B269" s="3" t="s">
        <v>24</v>
      </c>
      <c r="C269" s="3" t="s">
        <v>35</v>
      </c>
      <c r="D269" s="3" t="s">
        <v>48</v>
      </c>
      <c r="E269" s="3" t="s">
        <v>30</v>
      </c>
      <c r="F269" s="3" t="s">
        <v>157</v>
      </c>
      <c r="G269" s="3">
        <v>2016</v>
      </c>
      <c r="H269" s="3" t="str">
        <f>CONCATENATE("64240296737")</f>
        <v>64240296737</v>
      </c>
      <c r="I269" s="3" t="s">
        <v>25</v>
      </c>
      <c r="J269" s="3" t="s">
        <v>26</v>
      </c>
      <c r="K269" s="3" t="str">
        <f t="shared" si="13"/>
        <v/>
      </c>
      <c r="L269" s="3" t="str">
        <f>CONCATENATE("11 11.1 4b")</f>
        <v>11 11.1 4b</v>
      </c>
      <c r="M269" s="3" t="str">
        <f>CONCATENATE("BCCMRC81R17C770Y")</f>
        <v>BCCMRC81R17C770Y</v>
      </c>
      <c r="N269" s="3" t="s">
        <v>379</v>
      </c>
      <c r="O269" s="3"/>
      <c r="P269" s="4">
        <v>42783</v>
      </c>
      <c r="Q269" s="3" t="s">
        <v>27</v>
      </c>
      <c r="R269" s="3" t="s">
        <v>28</v>
      </c>
      <c r="S269" s="3" t="s">
        <v>29</v>
      </c>
      <c r="T269" s="5">
        <v>4219.21</v>
      </c>
      <c r="U269" s="5">
        <v>1819.32</v>
      </c>
      <c r="V269" s="5">
        <v>1680.09</v>
      </c>
      <c r="W269" s="3">
        <v>719.8</v>
      </c>
    </row>
    <row r="270" spans="1:23" ht="60.75">
      <c r="A270" s="3" t="s">
        <v>23</v>
      </c>
      <c r="B270" s="3" t="s">
        <v>24</v>
      </c>
      <c r="C270" s="3" t="s">
        <v>35</v>
      </c>
      <c r="D270" s="3" t="s">
        <v>43</v>
      </c>
      <c r="E270" s="3" t="s">
        <v>32</v>
      </c>
      <c r="F270" s="3" t="s">
        <v>335</v>
      </c>
      <c r="G270" s="3">
        <v>2016</v>
      </c>
      <c r="H270" s="3" t="str">
        <f>CONCATENATE("64240562260")</f>
        <v>64240562260</v>
      </c>
      <c r="I270" s="3" t="s">
        <v>25</v>
      </c>
      <c r="J270" s="3" t="s">
        <v>26</v>
      </c>
      <c r="K270" s="3" t="str">
        <f t="shared" si="13"/>
        <v/>
      </c>
      <c r="L270" s="3" t="str">
        <f>CONCATENATE("11 11.2 4b")</f>
        <v>11 11.2 4b</v>
      </c>
      <c r="M270" s="3" t="str">
        <f>CONCATENATE("BRRFRZ64E10E785F")</f>
        <v>BRRFRZ64E10E785F</v>
      </c>
      <c r="N270" s="3" t="s">
        <v>380</v>
      </c>
      <c r="O270" s="3"/>
      <c r="P270" s="4">
        <v>42783</v>
      </c>
      <c r="Q270" s="3" t="s">
        <v>27</v>
      </c>
      <c r="R270" s="3" t="s">
        <v>28</v>
      </c>
      <c r="S270" s="3" t="s">
        <v>29</v>
      </c>
      <c r="T270" s="5">
        <v>7253.69</v>
      </c>
      <c r="U270" s="5">
        <v>3127.79</v>
      </c>
      <c r="V270" s="5">
        <v>2888.42</v>
      </c>
      <c r="W270" s="5">
        <v>1237.48</v>
      </c>
    </row>
    <row r="271" spans="1:23" ht="36.75">
      <c r="A271" s="3" t="s">
        <v>23</v>
      </c>
      <c r="B271" s="3" t="s">
        <v>24</v>
      </c>
      <c r="C271" s="3" t="s">
        <v>35</v>
      </c>
      <c r="D271" s="3" t="s">
        <v>39</v>
      </c>
      <c r="E271" s="3" t="s">
        <v>30</v>
      </c>
      <c r="F271" s="3" t="s">
        <v>196</v>
      </c>
      <c r="G271" s="3">
        <v>2016</v>
      </c>
      <c r="H271" s="3" t="str">
        <f>CONCATENATE("64240708368")</f>
        <v>64240708368</v>
      </c>
      <c r="I271" s="3" t="s">
        <v>25</v>
      </c>
      <c r="J271" s="3" t="s">
        <v>26</v>
      </c>
      <c r="K271" s="3" t="str">
        <f t="shared" si="13"/>
        <v/>
      </c>
      <c r="L271" s="3" t="str">
        <f>CONCATENATE("11 11.2 4b")</f>
        <v>11 11.2 4b</v>
      </c>
      <c r="M271" s="3" t="str">
        <f>CONCATENATE("01310430424")</f>
        <v>01310430424</v>
      </c>
      <c r="N271" s="3" t="s">
        <v>381</v>
      </c>
      <c r="O271" s="3"/>
      <c r="P271" s="4">
        <v>42783</v>
      </c>
      <c r="Q271" s="3" t="s">
        <v>27</v>
      </c>
      <c r="R271" s="3" t="s">
        <v>28</v>
      </c>
      <c r="S271" s="3" t="s">
        <v>29</v>
      </c>
      <c r="T271" s="5">
        <v>9174.7099999999991</v>
      </c>
      <c r="U271" s="5">
        <v>3956.13</v>
      </c>
      <c r="V271" s="5">
        <v>3653.37</v>
      </c>
      <c r="W271" s="5">
        <v>1565.21</v>
      </c>
    </row>
    <row r="272" spans="1:23" ht="60.75">
      <c r="A272" s="3" t="s">
        <v>23</v>
      </c>
      <c r="B272" s="3" t="s">
        <v>24</v>
      </c>
      <c r="C272" s="3" t="s">
        <v>35</v>
      </c>
      <c r="D272" s="3" t="s">
        <v>39</v>
      </c>
      <c r="E272" s="3" t="s">
        <v>32</v>
      </c>
      <c r="F272" s="3" t="s">
        <v>215</v>
      </c>
      <c r="G272" s="3">
        <v>2016</v>
      </c>
      <c r="H272" s="3" t="str">
        <f>CONCATENATE("64240343547")</f>
        <v>64240343547</v>
      </c>
      <c r="I272" s="3" t="s">
        <v>25</v>
      </c>
      <c r="J272" s="3" t="s">
        <v>26</v>
      </c>
      <c r="K272" s="3" t="str">
        <f t="shared" si="13"/>
        <v/>
      </c>
      <c r="L272" s="3" t="str">
        <f>CONCATENATE("11 11.2 4b")</f>
        <v>11 11.2 4b</v>
      </c>
      <c r="M272" s="3" t="str">
        <f>CONCATENATE("CLOTRN54B05D211C")</f>
        <v>CLOTRN54B05D211C</v>
      </c>
      <c r="N272" s="3" t="s">
        <v>382</v>
      </c>
      <c r="O272" s="3"/>
      <c r="P272" s="4">
        <v>42783</v>
      </c>
      <c r="Q272" s="3" t="s">
        <v>27</v>
      </c>
      <c r="R272" s="3" t="s">
        <v>28</v>
      </c>
      <c r="S272" s="3" t="s">
        <v>29</v>
      </c>
      <c r="T272" s="3">
        <v>923.72</v>
      </c>
      <c r="U272" s="3">
        <v>398.31</v>
      </c>
      <c r="V272" s="3">
        <v>367.83</v>
      </c>
      <c r="W272" s="3">
        <v>157.58000000000001</v>
      </c>
    </row>
    <row r="273" spans="1:23" ht="60.75">
      <c r="A273" s="3" t="s">
        <v>23</v>
      </c>
      <c r="B273" s="3" t="s">
        <v>24</v>
      </c>
      <c r="C273" s="3" t="s">
        <v>35</v>
      </c>
      <c r="D273" s="3" t="s">
        <v>48</v>
      </c>
      <c r="E273" s="3" t="s">
        <v>30</v>
      </c>
      <c r="F273" s="3" t="s">
        <v>91</v>
      </c>
      <c r="G273" s="3">
        <v>2016</v>
      </c>
      <c r="H273" s="3" t="str">
        <f>CONCATENATE("64240317194")</f>
        <v>64240317194</v>
      </c>
      <c r="I273" s="3" t="s">
        <v>25</v>
      </c>
      <c r="J273" s="3" t="s">
        <v>26</v>
      </c>
      <c r="K273" s="3" t="str">
        <f t="shared" si="13"/>
        <v/>
      </c>
      <c r="L273" s="3" t="str">
        <f>CONCATENATE("11 11.1 4b")</f>
        <v>11 11.1 4b</v>
      </c>
      <c r="M273" s="3" t="str">
        <f>CONCATENATE("LBRLSS92P06B474R")</f>
        <v>LBRLSS92P06B474R</v>
      </c>
      <c r="N273" s="3" t="s">
        <v>126</v>
      </c>
      <c r="O273" s="3"/>
      <c r="P273" s="4">
        <v>42783</v>
      </c>
      <c r="Q273" s="3" t="s">
        <v>27</v>
      </c>
      <c r="R273" s="3" t="s">
        <v>28</v>
      </c>
      <c r="S273" s="3" t="s">
        <v>29</v>
      </c>
      <c r="T273" s="5">
        <v>3851.3</v>
      </c>
      <c r="U273" s="5">
        <v>1660.68</v>
      </c>
      <c r="V273" s="5">
        <v>1533.59</v>
      </c>
      <c r="W273" s="3">
        <v>657.03</v>
      </c>
    </row>
    <row r="274" spans="1:23" ht="60.75">
      <c r="A274" s="3" t="s">
        <v>23</v>
      </c>
      <c r="B274" s="3" t="s">
        <v>24</v>
      </c>
      <c r="C274" s="3" t="s">
        <v>35</v>
      </c>
      <c r="D274" s="3" t="s">
        <v>48</v>
      </c>
      <c r="E274" s="3" t="s">
        <v>383</v>
      </c>
      <c r="F274" s="3" t="s">
        <v>384</v>
      </c>
      <c r="G274" s="3">
        <v>2016</v>
      </c>
      <c r="H274" s="3" t="str">
        <f>CONCATENATE("64240905352")</f>
        <v>64240905352</v>
      </c>
      <c r="I274" s="3" t="s">
        <v>25</v>
      </c>
      <c r="J274" s="3" t="s">
        <v>26</v>
      </c>
      <c r="K274" s="3" t="str">
        <f t="shared" si="13"/>
        <v/>
      </c>
      <c r="L274" s="3" t="str">
        <f>CONCATENATE("11 11.1 4b")</f>
        <v>11 11.1 4b</v>
      </c>
      <c r="M274" s="3" t="str">
        <f>CONCATENATE("LBRMTT93P26A465A")</f>
        <v>LBRMTT93P26A465A</v>
      </c>
      <c r="N274" s="3" t="s">
        <v>385</v>
      </c>
      <c r="O274" s="3"/>
      <c r="P274" s="4">
        <v>42783</v>
      </c>
      <c r="Q274" s="3" t="s">
        <v>27</v>
      </c>
      <c r="R274" s="3" t="s">
        <v>28</v>
      </c>
      <c r="S274" s="3" t="s">
        <v>29</v>
      </c>
      <c r="T274" s="5">
        <v>1953.39</v>
      </c>
      <c r="U274" s="3">
        <v>842.3</v>
      </c>
      <c r="V274" s="3">
        <v>777.84</v>
      </c>
      <c r="W274" s="3">
        <v>333.25</v>
      </c>
    </row>
    <row r="275" spans="1:23" ht="60.75">
      <c r="A275" s="3" t="s">
        <v>23</v>
      </c>
      <c r="B275" s="3" t="s">
        <v>24</v>
      </c>
      <c r="C275" s="3" t="s">
        <v>35</v>
      </c>
      <c r="D275" s="3" t="s">
        <v>43</v>
      </c>
      <c r="E275" s="3" t="s">
        <v>49</v>
      </c>
      <c r="F275" s="3" t="s">
        <v>276</v>
      </c>
      <c r="G275" s="3">
        <v>2016</v>
      </c>
      <c r="H275" s="3" t="str">
        <f>CONCATENATE("64210619322")</f>
        <v>64210619322</v>
      </c>
      <c r="I275" s="3" t="s">
        <v>25</v>
      </c>
      <c r="J275" s="3" t="s">
        <v>26</v>
      </c>
      <c r="K275" s="3" t="str">
        <f t="shared" si="13"/>
        <v/>
      </c>
      <c r="L275" s="3" t="str">
        <f>CONCATENATE("13 13.1 4a")</f>
        <v>13 13.1 4a</v>
      </c>
      <c r="M275" s="3" t="str">
        <f>CONCATENATE("BNCSFN62C04L500O")</f>
        <v>BNCSFN62C04L500O</v>
      </c>
      <c r="N275" s="3" t="s">
        <v>386</v>
      </c>
      <c r="O275" s="3"/>
      <c r="P275" s="4">
        <v>42783</v>
      </c>
      <c r="Q275" s="3" t="s">
        <v>27</v>
      </c>
      <c r="R275" s="3" t="s">
        <v>28</v>
      </c>
      <c r="S275" s="3" t="s">
        <v>29</v>
      </c>
      <c r="T275" s="5">
        <v>3733.08</v>
      </c>
      <c r="U275" s="5">
        <v>1609.7</v>
      </c>
      <c r="V275" s="5">
        <v>1486.51</v>
      </c>
      <c r="W275" s="3">
        <v>636.87</v>
      </c>
    </row>
    <row r="276" spans="1:23" ht="36.75">
      <c r="A276" s="3" t="s">
        <v>23</v>
      </c>
      <c r="B276" s="3" t="s">
        <v>24</v>
      </c>
      <c r="C276" s="3" t="s">
        <v>35</v>
      </c>
      <c r="D276" s="3" t="s">
        <v>39</v>
      </c>
      <c r="E276" s="3" t="s">
        <v>30</v>
      </c>
      <c r="F276" s="3" t="s">
        <v>196</v>
      </c>
      <c r="G276" s="3">
        <v>2016</v>
      </c>
      <c r="H276" s="3" t="str">
        <f>CONCATENATE("64240744678")</f>
        <v>64240744678</v>
      </c>
      <c r="I276" s="3" t="s">
        <v>25</v>
      </c>
      <c r="J276" s="3" t="s">
        <v>26</v>
      </c>
      <c r="K276" s="3" t="str">
        <f t="shared" si="13"/>
        <v/>
      </c>
      <c r="L276" s="3" t="str">
        <f>CONCATENATE("10 10.1 4a")</f>
        <v>10 10.1 4a</v>
      </c>
      <c r="M276" s="3" t="str">
        <f>CONCATENATE("01474980420")</f>
        <v>01474980420</v>
      </c>
      <c r="N276" s="3" t="s">
        <v>387</v>
      </c>
      <c r="O276" s="3"/>
      <c r="P276" s="4">
        <v>42783</v>
      </c>
      <c r="Q276" s="3" t="s">
        <v>27</v>
      </c>
      <c r="R276" s="3" t="s">
        <v>28</v>
      </c>
      <c r="S276" s="3" t="s">
        <v>29</v>
      </c>
      <c r="T276" s="3">
        <v>834.05</v>
      </c>
      <c r="U276" s="3">
        <v>359.64</v>
      </c>
      <c r="V276" s="3">
        <v>332.12</v>
      </c>
      <c r="W276" s="3">
        <v>142.29</v>
      </c>
    </row>
    <row r="277" spans="1:23" ht="36.75">
      <c r="A277" s="3" t="s">
        <v>23</v>
      </c>
      <c r="B277" s="3" t="s">
        <v>24</v>
      </c>
      <c r="C277" s="3" t="s">
        <v>35</v>
      </c>
      <c r="D277" s="3" t="s">
        <v>43</v>
      </c>
      <c r="E277" s="3" t="s">
        <v>30</v>
      </c>
      <c r="F277" s="3" t="s">
        <v>76</v>
      </c>
      <c r="G277" s="3">
        <v>2016</v>
      </c>
      <c r="H277" s="3" t="str">
        <f>CONCATENATE("64210156598")</f>
        <v>64210156598</v>
      </c>
      <c r="I277" s="3" t="s">
        <v>25</v>
      </c>
      <c r="J277" s="3" t="s">
        <v>26</v>
      </c>
      <c r="K277" s="3" t="str">
        <f t="shared" si="13"/>
        <v/>
      </c>
      <c r="L277" s="3" t="str">
        <f>CONCATENATE("13 13.1 4a")</f>
        <v>13 13.1 4a</v>
      </c>
      <c r="M277" s="3" t="str">
        <f>CONCATENATE("01175550415")</f>
        <v>01175550415</v>
      </c>
      <c r="N277" s="3" t="s">
        <v>388</v>
      </c>
      <c r="O277" s="3"/>
      <c r="P277" s="4">
        <v>42783</v>
      </c>
      <c r="Q277" s="3" t="s">
        <v>27</v>
      </c>
      <c r="R277" s="3" t="s">
        <v>28</v>
      </c>
      <c r="S277" s="3" t="s">
        <v>29</v>
      </c>
      <c r="T277" s="5">
        <v>4119.41</v>
      </c>
      <c r="U277" s="5">
        <v>1776.29</v>
      </c>
      <c r="V277" s="5">
        <v>1640.35</v>
      </c>
      <c r="W277" s="3">
        <v>702.77</v>
      </c>
    </row>
    <row r="278" spans="1:23" ht="60.75">
      <c r="A278" s="3" t="s">
        <v>23</v>
      </c>
      <c r="B278" s="3" t="s">
        <v>24</v>
      </c>
      <c r="C278" s="3" t="s">
        <v>35</v>
      </c>
      <c r="D278" s="3" t="s">
        <v>36</v>
      </c>
      <c r="E278" s="3" t="s">
        <v>30</v>
      </c>
      <c r="F278" s="3" t="s">
        <v>37</v>
      </c>
      <c r="G278" s="3">
        <v>2016</v>
      </c>
      <c r="H278" s="3" t="str">
        <f>CONCATENATE("64240533600")</f>
        <v>64240533600</v>
      </c>
      <c r="I278" s="3" t="s">
        <v>25</v>
      </c>
      <c r="J278" s="3" t="s">
        <v>26</v>
      </c>
      <c r="K278" s="3" t="str">
        <f t="shared" si="13"/>
        <v/>
      </c>
      <c r="L278" s="3" t="str">
        <f>CONCATENATE("11 11.2 4b")</f>
        <v>11 11.2 4b</v>
      </c>
      <c r="M278" s="3" t="str">
        <f>CONCATENATE("DLTGNN54T28D691U")</f>
        <v>DLTGNN54T28D691U</v>
      </c>
      <c r="N278" s="3" t="s">
        <v>389</v>
      </c>
      <c r="O278" s="3"/>
      <c r="P278" s="4">
        <v>42783</v>
      </c>
      <c r="Q278" s="3" t="s">
        <v>27</v>
      </c>
      <c r="R278" s="3" t="s">
        <v>28</v>
      </c>
      <c r="S278" s="3" t="s">
        <v>29</v>
      </c>
      <c r="T278" s="5">
        <v>2338.25</v>
      </c>
      <c r="U278" s="5">
        <v>1008.25</v>
      </c>
      <c r="V278" s="3">
        <v>931.09</v>
      </c>
      <c r="W278" s="3">
        <v>398.91</v>
      </c>
    </row>
    <row r="279" spans="1:23" ht="60.75">
      <c r="A279" s="3" t="s">
        <v>23</v>
      </c>
      <c r="B279" s="3" t="s">
        <v>24</v>
      </c>
      <c r="C279" s="3" t="s">
        <v>35</v>
      </c>
      <c r="D279" s="3" t="s">
        <v>43</v>
      </c>
      <c r="E279" s="3" t="s">
        <v>30</v>
      </c>
      <c r="F279" s="3" t="s">
        <v>124</v>
      </c>
      <c r="G279" s="3">
        <v>2016</v>
      </c>
      <c r="H279" s="3" t="str">
        <f>CONCATENATE("64240623658")</f>
        <v>64240623658</v>
      </c>
      <c r="I279" s="3" t="s">
        <v>25</v>
      </c>
      <c r="J279" s="3" t="s">
        <v>26</v>
      </c>
      <c r="K279" s="3" t="str">
        <f t="shared" si="13"/>
        <v/>
      </c>
      <c r="L279" s="3" t="str">
        <f>CONCATENATE("11 11.2 4b")</f>
        <v>11 11.2 4b</v>
      </c>
      <c r="M279" s="3" t="str">
        <f>CONCATENATE("MZZGRG74M13L498Z")</f>
        <v>MZZGRG74M13L498Z</v>
      </c>
      <c r="N279" s="3" t="s">
        <v>390</v>
      </c>
      <c r="O279" s="3"/>
      <c r="P279" s="4">
        <v>42783</v>
      </c>
      <c r="Q279" s="3" t="s">
        <v>27</v>
      </c>
      <c r="R279" s="3" t="s">
        <v>28</v>
      </c>
      <c r="S279" s="3" t="s">
        <v>29</v>
      </c>
      <c r="T279" s="5">
        <v>7137.57</v>
      </c>
      <c r="U279" s="5">
        <v>3077.72</v>
      </c>
      <c r="V279" s="5">
        <v>2842.18</v>
      </c>
      <c r="W279" s="5">
        <v>1217.67</v>
      </c>
    </row>
    <row r="280" spans="1:23" ht="60.75">
      <c r="A280" s="3" t="s">
        <v>23</v>
      </c>
      <c r="B280" s="3" t="s">
        <v>24</v>
      </c>
      <c r="C280" s="3" t="s">
        <v>35</v>
      </c>
      <c r="D280" s="3" t="s">
        <v>43</v>
      </c>
      <c r="E280" s="3" t="s">
        <v>49</v>
      </c>
      <c r="F280" s="3" t="s">
        <v>276</v>
      </c>
      <c r="G280" s="3">
        <v>2016</v>
      </c>
      <c r="H280" s="3" t="str">
        <f>CONCATENATE("64240430195")</f>
        <v>64240430195</v>
      </c>
      <c r="I280" s="3" t="s">
        <v>25</v>
      </c>
      <c r="J280" s="3" t="s">
        <v>26</v>
      </c>
      <c r="K280" s="3" t="str">
        <f t="shared" si="13"/>
        <v/>
      </c>
      <c r="L280" s="3" t="str">
        <f>CONCATENATE("11 11.2 4b")</f>
        <v>11 11.2 4b</v>
      </c>
      <c r="M280" s="3" t="str">
        <f>CONCATENATE("BSTLSU64E56G479K")</f>
        <v>BSTLSU64E56G479K</v>
      </c>
      <c r="N280" s="3" t="s">
        <v>391</v>
      </c>
      <c r="O280" s="3"/>
      <c r="P280" s="4">
        <v>42783</v>
      </c>
      <c r="Q280" s="3" t="s">
        <v>27</v>
      </c>
      <c r="R280" s="3" t="s">
        <v>28</v>
      </c>
      <c r="S280" s="3" t="s">
        <v>29</v>
      </c>
      <c r="T280" s="5">
        <v>15705.68</v>
      </c>
      <c r="U280" s="5">
        <v>6772.29</v>
      </c>
      <c r="V280" s="5">
        <v>6254</v>
      </c>
      <c r="W280" s="5">
        <v>2679.39</v>
      </c>
    </row>
    <row r="281" spans="1:23" ht="60.75">
      <c r="A281" s="3" t="s">
        <v>23</v>
      </c>
      <c r="B281" s="3" t="s">
        <v>24</v>
      </c>
      <c r="C281" s="3" t="s">
        <v>35</v>
      </c>
      <c r="D281" s="3" t="s">
        <v>43</v>
      </c>
      <c r="E281" s="3" t="s">
        <v>30</v>
      </c>
      <c r="F281" s="3" t="s">
        <v>113</v>
      </c>
      <c r="G281" s="3">
        <v>2016</v>
      </c>
      <c r="H281" s="3" t="str">
        <f>CONCATENATE("64210872160")</f>
        <v>64210872160</v>
      </c>
      <c r="I281" s="3" t="s">
        <v>25</v>
      </c>
      <c r="J281" s="3" t="s">
        <v>26</v>
      </c>
      <c r="K281" s="3" t="str">
        <f t="shared" si="13"/>
        <v/>
      </c>
      <c r="L281" s="3" t="str">
        <f>CONCATENATE("13 13.1 4a")</f>
        <v>13 13.1 4a</v>
      </c>
      <c r="M281" s="3" t="str">
        <f>CONCATENATE("TRVGPP74L22E256W")</f>
        <v>TRVGPP74L22E256W</v>
      </c>
      <c r="N281" s="3" t="s">
        <v>392</v>
      </c>
      <c r="O281" s="3"/>
      <c r="P281" s="4">
        <v>42783</v>
      </c>
      <c r="Q281" s="3" t="s">
        <v>27</v>
      </c>
      <c r="R281" s="3" t="s">
        <v>28</v>
      </c>
      <c r="S281" s="3" t="s">
        <v>29</v>
      </c>
      <c r="T281" s="5">
        <v>1616.62</v>
      </c>
      <c r="U281" s="3">
        <v>697.09</v>
      </c>
      <c r="V281" s="3">
        <v>643.74</v>
      </c>
      <c r="W281" s="3">
        <v>275.79000000000002</v>
      </c>
    </row>
    <row r="282" spans="1:23" ht="36.75">
      <c r="A282" s="3" t="s">
        <v>23</v>
      </c>
      <c r="B282" s="3" t="s">
        <v>24</v>
      </c>
      <c r="C282" s="3" t="s">
        <v>35</v>
      </c>
      <c r="D282" s="3" t="s">
        <v>43</v>
      </c>
      <c r="E282" s="3" t="s">
        <v>30</v>
      </c>
      <c r="F282" s="3" t="s">
        <v>131</v>
      </c>
      <c r="G282" s="3">
        <v>2016</v>
      </c>
      <c r="H282" s="3" t="str">
        <f>CONCATENATE("64210434862")</f>
        <v>64210434862</v>
      </c>
      <c r="I282" s="3" t="s">
        <v>25</v>
      </c>
      <c r="J282" s="3" t="s">
        <v>26</v>
      </c>
      <c r="K282" s="3" t="str">
        <f t="shared" si="13"/>
        <v/>
      </c>
      <c r="L282" s="3" t="str">
        <f>CONCATENATE("13 13.1 4a")</f>
        <v>13 13.1 4a</v>
      </c>
      <c r="M282" s="3" t="str">
        <f>CONCATENATE("00724050414")</f>
        <v>00724050414</v>
      </c>
      <c r="N282" s="3" t="s">
        <v>393</v>
      </c>
      <c r="O282" s="3"/>
      <c r="P282" s="4">
        <v>42783</v>
      </c>
      <c r="Q282" s="3" t="s">
        <v>27</v>
      </c>
      <c r="R282" s="3" t="s">
        <v>28</v>
      </c>
      <c r="S282" s="3" t="s">
        <v>29</v>
      </c>
      <c r="T282" s="5">
        <v>5238</v>
      </c>
      <c r="U282" s="5">
        <v>2258.63</v>
      </c>
      <c r="V282" s="5">
        <v>2085.77</v>
      </c>
      <c r="W282" s="3">
        <v>893.6</v>
      </c>
    </row>
    <row r="283" spans="1:23" ht="36.75">
      <c r="A283" s="3" t="s">
        <v>23</v>
      </c>
      <c r="B283" s="3" t="s">
        <v>24</v>
      </c>
      <c r="C283" s="3" t="s">
        <v>35</v>
      </c>
      <c r="D283" s="3" t="s">
        <v>48</v>
      </c>
      <c r="E283" s="3" t="s">
        <v>30</v>
      </c>
      <c r="F283" s="3" t="s">
        <v>289</v>
      </c>
      <c r="G283" s="3">
        <v>2016</v>
      </c>
      <c r="H283" s="3" t="str">
        <f>CONCATENATE("64240327433")</f>
        <v>64240327433</v>
      </c>
      <c r="I283" s="3" t="s">
        <v>25</v>
      </c>
      <c r="J283" s="3" t="s">
        <v>26</v>
      </c>
      <c r="K283" s="3" t="str">
        <f t="shared" si="13"/>
        <v/>
      </c>
      <c r="L283" s="3" t="str">
        <f>CONCATENATE("11 11.2 4b")</f>
        <v>11 11.2 4b</v>
      </c>
      <c r="M283" s="3" t="str">
        <f>CONCATENATE("01263250431")</f>
        <v>01263250431</v>
      </c>
      <c r="N283" s="3" t="s">
        <v>394</v>
      </c>
      <c r="O283" s="3"/>
      <c r="P283" s="4">
        <v>42783</v>
      </c>
      <c r="Q283" s="3" t="s">
        <v>27</v>
      </c>
      <c r="R283" s="3" t="s">
        <v>28</v>
      </c>
      <c r="S283" s="3" t="s">
        <v>29</v>
      </c>
      <c r="T283" s="5">
        <v>1093.31</v>
      </c>
      <c r="U283" s="3">
        <v>471.44</v>
      </c>
      <c r="V283" s="3">
        <v>435.36</v>
      </c>
      <c r="W283" s="3">
        <v>186.51</v>
      </c>
    </row>
    <row r="284" spans="1:23" ht="72.75">
      <c r="A284" s="3" t="s">
        <v>23</v>
      </c>
      <c r="B284" s="3" t="s">
        <v>24</v>
      </c>
      <c r="C284" s="3" t="s">
        <v>35</v>
      </c>
      <c r="D284" s="3" t="s">
        <v>36</v>
      </c>
      <c r="E284" s="3" t="s">
        <v>33</v>
      </c>
      <c r="F284" s="3" t="s">
        <v>192</v>
      </c>
      <c r="G284" s="3">
        <v>2016</v>
      </c>
      <c r="H284" s="3" t="str">
        <f>CONCATENATE("64240301503")</f>
        <v>64240301503</v>
      </c>
      <c r="I284" s="3" t="s">
        <v>25</v>
      </c>
      <c r="J284" s="3" t="s">
        <v>26</v>
      </c>
      <c r="K284" s="3" t="str">
        <f t="shared" si="13"/>
        <v/>
      </c>
      <c r="L284" s="3" t="str">
        <f>CONCATENATE("11 11.1 4b")</f>
        <v>11 11.1 4b</v>
      </c>
      <c r="M284" s="3" t="str">
        <f>CONCATENATE("RNTRME48H04B534N")</f>
        <v>RNTRME48H04B534N</v>
      </c>
      <c r="N284" s="3" t="s">
        <v>395</v>
      </c>
      <c r="O284" s="3"/>
      <c r="P284" s="4">
        <v>42783</v>
      </c>
      <c r="Q284" s="3" t="s">
        <v>27</v>
      </c>
      <c r="R284" s="3" t="s">
        <v>28</v>
      </c>
      <c r="S284" s="3" t="s">
        <v>29</v>
      </c>
      <c r="T284" s="5">
        <v>1583.11</v>
      </c>
      <c r="U284" s="3">
        <v>682.64</v>
      </c>
      <c r="V284" s="3">
        <v>630.39</v>
      </c>
      <c r="W284" s="3">
        <v>270.08</v>
      </c>
    </row>
    <row r="285" spans="1:23" ht="36.75">
      <c r="A285" s="3" t="s">
        <v>23</v>
      </c>
      <c r="B285" s="3" t="s">
        <v>24</v>
      </c>
      <c r="C285" s="3" t="s">
        <v>35</v>
      </c>
      <c r="D285" s="3" t="s">
        <v>36</v>
      </c>
      <c r="E285" s="3" t="s">
        <v>30</v>
      </c>
      <c r="F285" s="3" t="s">
        <v>86</v>
      </c>
      <c r="G285" s="3">
        <v>2016</v>
      </c>
      <c r="H285" s="3" t="str">
        <f>CONCATENATE("64240709457")</f>
        <v>64240709457</v>
      </c>
      <c r="I285" s="3" t="s">
        <v>25</v>
      </c>
      <c r="J285" s="3" t="s">
        <v>26</v>
      </c>
      <c r="K285" s="3" t="str">
        <f t="shared" si="13"/>
        <v/>
      </c>
      <c r="L285" s="3" t="str">
        <f>CONCATENATE("11 11.2 4b")</f>
        <v>11 11.2 4b</v>
      </c>
      <c r="M285" s="3" t="str">
        <f>CONCATENATE("01879910444")</f>
        <v>01879910444</v>
      </c>
      <c r="N285" s="3" t="s">
        <v>396</v>
      </c>
      <c r="O285" s="3"/>
      <c r="P285" s="4">
        <v>42783</v>
      </c>
      <c r="Q285" s="3" t="s">
        <v>27</v>
      </c>
      <c r="R285" s="3" t="s">
        <v>28</v>
      </c>
      <c r="S285" s="3" t="s">
        <v>29</v>
      </c>
      <c r="T285" s="5">
        <v>2511.2600000000002</v>
      </c>
      <c r="U285" s="5">
        <v>1082.8599999999999</v>
      </c>
      <c r="V285" s="3">
        <v>999.98</v>
      </c>
      <c r="W285" s="3">
        <v>428.42</v>
      </c>
    </row>
    <row r="286" spans="1:23" ht="60.75">
      <c r="A286" s="3" t="s">
        <v>23</v>
      </c>
      <c r="B286" s="3" t="s">
        <v>24</v>
      </c>
      <c r="C286" s="3" t="s">
        <v>35</v>
      </c>
      <c r="D286" s="3" t="s">
        <v>36</v>
      </c>
      <c r="E286" s="3" t="s">
        <v>30</v>
      </c>
      <c r="F286" s="3" t="s">
        <v>257</v>
      </c>
      <c r="G286" s="3">
        <v>2016</v>
      </c>
      <c r="H286" s="3" t="str">
        <f>CONCATENATE("64240696035")</f>
        <v>64240696035</v>
      </c>
      <c r="I286" s="3" t="s">
        <v>25</v>
      </c>
      <c r="J286" s="3" t="s">
        <v>26</v>
      </c>
      <c r="K286" s="3" t="str">
        <f t="shared" si="13"/>
        <v/>
      </c>
      <c r="L286" s="3" t="str">
        <f>CONCATENATE("11 11.2 4b")</f>
        <v>11 11.2 4b</v>
      </c>
      <c r="M286" s="3" t="str">
        <f>CONCATENATE("MLNLSE89L55D542V")</f>
        <v>MLNLSE89L55D542V</v>
      </c>
      <c r="N286" s="3" t="s">
        <v>397</v>
      </c>
      <c r="O286" s="3"/>
      <c r="P286" s="4">
        <v>42783</v>
      </c>
      <c r="Q286" s="3" t="s">
        <v>27</v>
      </c>
      <c r="R286" s="3" t="s">
        <v>28</v>
      </c>
      <c r="S286" s="3" t="s">
        <v>29</v>
      </c>
      <c r="T286" s="5">
        <v>2763.16</v>
      </c>
      <c r="U286" s="5">
        <v>1191.47</v>
      </c>
      <c r="V286" s="5">
        <v>1100.29</v>
      </c>
      <c r="W286" s="3">
        <v>471.4</v>
      </c>
    </row>
    <row r="287" spans="1:23" ht="60.75">
      <c r="A287" s="3" t="s">
        <v>23</v>
      </c>
      <c r="B287" s="3" t="s">
        <v>24</v>
      </c>
      <c r="C287" s="3" t="s">
        <v>35</v>
      </c>
      <c r="D287" s="3" t="s">
        <v>48</v>
      </c>
      <c r="E287" s="3" t="s">
        <v>49</v>
      </c>
      <c r="F287" s="3" t="s">
        <v>50</v>
      </c>
      <c r="G287" s="3">
        <v>2016</v>
      </c>
      <c r="H287" s="3" t="str">
        <f>CONCATENATE("64240429163")</f>
        <v>64240429163</v>
      </c>
      <c r="I287" s="3" t="s">
        <v>25</v>
      </c>
      <c r="J287" s="3" t="s">
        <v>26</v>
      </c>
      <c r="K287" s="3" t="str">
        <f t="shared" si="13"/>
        <v/>
      </c>
      <c r="L287" s="3" t="str">
        <f>CONCATENATE("11 11.2 4b")</f>
        <v>11 11.2 4b</v>
      </c>
      <c r="M287" s="3" t="str">
        <f>CONCATENATE("CNTSLV62C24E783O")</f>
        <v>CNTSLV62C24E783O</v>
      </c>
      <c r="N287" s="3" t="s">
        <v>398</v>
      </c>
      <c r="O287" s="3"/>
      <c r="P287" s="4">
        <v>42783</v>
      </c>
      <c r="Q287" s="3" t="s">
        <v>27</v>
      </c>
      <c r="R287" s="3" t="s">
        <v>28</v>
      </c>
      <c r="S287" s="3" t="s">
        <v>29</v>
      </c>
      <c r="T287" s="5">
        <v>13572.47</v>
      </c>
      <c r="U287" s="5">
        <v>5852.45</v>
      </c>
      <c r="V287" s="5">
        <v>5404.56</v>
      </c>
      <c r="W287" s="5">
        <v>2315.46</v>
      </c>
    </row>
    <row r="288" spans="1:23" ht="60.75">
      <c r="A288" s="3" t="s">
        <v>23</v>
      </c>
      <c r="B288" s="3" t="s">
        <v>24</v>
      </c>
      <c r="C288" s="3" t="s">
        <v>35</v>
      </c>
      <c r="D288" s="3" t="s">
        <v>43</v>
      </c>
      <c r="E288" s="3" t="s">
        <v>30</v>
      </c>
      <c r="F288" s="3" t="s">
        <v>76</v>
      </c>
      <c r="G288" s="3">
        <v>2016</v>
      </c>
      <c r="H288" s="3" t="str">
        <f>CONCATENATE("64210128795")</f>
        <v>64210128795</v>
      </c>
      <c r="I288" s="3" t="s">
        <v>31</v>
      </c>
      <c r="J288" s="3" t="s">
        <v>26</v>
      </c>
      <c r="K288" s="3" t="str">
        <f t="shared" si="13"/>
        <v/>
      </c>
      <c r="L288" s="3" t="str">
        <f>CONCATENATE("13 13.1 4a")</f>
        <v>13 13.1 4a</v>
      </c>
      <c r="M288" s="3" t="str">
        <f>CONCATENATE("QDRNZE55C22F136G")</f>
        <v>QDRNZE55C22F136G</v>
      </c>
      <c r="N288" s="3" t="s">
        <v>399</v>
      </c>
      <c r="O288" s="3"/>
      <c r="P288" s="4">
        <v>42783</v>
      </c>
      <c r="Q288" s="3" t="s">
        <v>27</v>
      </c>
      <c r="R288" s="3" t="s">
        <v>28</v>
      </c>
      <c r="S288" s="3" t="s">
        <v>29</v>
      </c>
      <c r="T288" s="5">
        <v>1672.06</v>
      </c>
      <c r="U288" s="3">
        <v>720.99</v>
      </c>
      <c r="V288" s="3">
        <v>665.81</v>
      </c>
      <c r="W288" s="3">
        <v>285.26</v>
      </c>
    </row>
    <row r="289" spans="1:23" ht="60.75">
      <c r="A289" s="3" t="s">
        <v>23</v>
      </c>
      <c r="B289" s="3" t="s">
        <v>24</v>
      </c>
      <c r="C289" s="3" t="s">
        <v>35</v>
      </c>
      <c r="D289" s="3" t="s">
        <v>43</v>
      </c>
      <c r="E289" s="3" t="s">
        <v>32</v>
      </c>
      <c r="F289" s="3" t="s">
        <v>44</v>
      </c>
      <c r="G289" s="3">
        <v>2016</v>
      </c>
      <c r="H289" s="3" t="str">
        <f>CONCATENATE("64240513099")</f>
        <v>64240513099</v>
      </c>
      <c r="I289" s="3" t="s">
        <v>25</v>
      </c>
      <c r="J289" s="3" t="s">
        <v>26</v>
      </c>
      <c r="K289" s="3" t="str">
        <f t="shared" si="13"/>
        <v/>
      </c>
      <c r="L289" s="3" t="str">
        <f>CONCATENATE("11 11.1 4b")</f>
        <v>11 11.1 4b</v>
      </c>
      <c r="M289" s="3" t="str">
        <f>CONCATENATE("LMBDDY85S26D749S")</f>
        <v>LMBDDY85S26D749S</v>
      </c>
      <c r="N289" s="3" t="s">
        <v>400</v>
      </c>
      <c r="O289" s="3"/>
      <c r="P289" s="4">
        <v>42783</v>
      </c>
      <c r="Q289" s="3" t="s">
        <v>27</v>
      </c>
      <c r="R289" s="3" t="s">
        <v>28</v>
      </c>
      <c r="S289" s="3" t="s">
        <v>29</v>
      </c>
      <c r="T289" s="5">
        <v>9028.3799999999992</v>
      </c>
      <c r="U289" s="5">
        <v>3893.04</v>
      </c>
      <c r="V289" s="5">
        <v>3595.1</v>
      </c>
      <c r="W289" s="5">
        <v>1540.24</v>
      </c>
    </row>
    <row r="290" spans="1:23" ht="60.75">
      <c r="A290" s="3" t="s">
        <v>23</v>
      </c>
      <c r="B290" s="3" t="s">
        <v>24</v>
      </c>
      <c r="C290" s="3" t="s">
        <v>35</v>
      </c>
      <c r="D290" s="3" t="s">
        <v>43</v>
      </c>
      <c r="E290" s="3" t="s">
        <v>30</v>
      </c>
      <c r="F290" s="3" t="s">
        <v>104</v>
      </c>
      <c r="G290" s="3">
        <v>2016</v>
      </c>
      <c r="H290" s="3" t="str">
        <f>CONCATENATE("64240218301")</f>
        <v>64240218301</v>
      </c>
      <c r="I290" s="3" t="s">
        <v>25</v>
      </c>
      <c r="J290" s="3" t="s">
        <v>26</v>
      </c>
      <c r="K290" s="3" t="str">
        <f t="shared" si="13"/>
        <v/>
      </c>
      <c r="L290" s="3" t="str">
        <f>CONCATENATE("11 11.2 4b")</f>
        <v>11 11.2 4b</v>
      </c>
      <c r="M290" s="3" t="str">
        <f>CONCATENATE("SRRPQL45H01G147X")</f>
        <v>SRRPQL45H01G147X</v>
      </c>
      <c r="N290" s="3" t="s">
        <v>401</v>
      </c>
      <c r="O290" s="3"/>
      <c r="P290" s="4">
        <v>42783</v>
      </c>
      <c r="Q290" s="3" t="s">
        <v>27</v>
      </c>
      <c r="R290" s="3" t="s">
        <v>28</v>
      </c>
      <c r="S290" s="3" t="s">
        <v>29</v>
      </c>
      <c r="T290" s="5">
        <v>8220.6200000000008</v>
      </c>
      <c r="U290" s="5">
        <v>3544.73</v>
      </c>
      <c r="V290" s="5">
        <v>3273.45</v>
      </c>
      <c r="W290" s="5">
        <v>1402.44</v>
      </c>
    </row>
    <row r="291" spans="1:23" ht="72.75">
      <c r="A291" s="3" t="s">
        <v>23</v>
      </c>
      <c r="B291" s="3" t="s">
        <v>24</v>
      </c>
      <c r="C291" s="3" t="s">
        <v>35</v>
      </c>
      <c r="D291" s="3" t="s">
        <v>43</v>
      </c>
      <c r="E291" s="3" t="s">
        <v>30</v>
      </c>
      <c r="F291" s="3" t="s">
        <v>113</v>
      </c>
      <c r="G291" s="3">
        <v>2016</v>
      </c>
      <c r="H291" s="3" t="str">
        <f>CONCATENATE("64240716650")</f>
        <v>64240716650</v>
      </c>
      <c r="I291" s="3" t="s">
        <v>25</v>
      </c>
      <c r="J291" s="3" t="s">
        <v>26</v>
      </c>
      <c r="K291" s="3" t="str">
        <f t="shared" si="13"/>
        <v/>
      </c>
      <c r="L291" s="3" t="str">
        <f>CONCATENATE("11 11.2 4b")</f>
        <v>11 11.2 4b</v>
      </c>
      <c r="M291" s="3" t="str">
        <f>CONCATENATE("CTNSNO63R48G479G")</f>
        <v>CTNSNO63R48G479G</v>
      </c>
      <c r="N291" s="3" t="s">
        <v>402</v>
      </c>
      <c r="O291" s="3"/>
      <c r="P291" s="4">
        <v>42783</v>
      </c>
      <c r="Q291" s="3" t="s">
        <v>27</v>
      </c>
      <c r="R291" s="3" t="s">
        <v>28</v>
      </c>
      <c r="S291" s="3" t="s">
        <v>29</v>
      </c>
      <c r="T291" s="5">
        <v>3715.01</v>
      </c>
      <c r="U291" s="5">
        <v>1601.91</v>
      </c>
      <c r="V291" s="5">
        <v>1479.32</v>
      </c>
      <c r="W291" s="3">
        <v>633.78</v>
      </c>
    </row>
    <row r="292" spans="1:23" ht="60.75">
      <c r="A292" s="3" t="s">
        <v>23</v>
      </c>
      <c r="B292" s="3" t="s">
        <v>24</v>
      </c>
      <c r="C292" s="3" t="s">
        <v>35</v>
      </c>
      <c r="D292" s="3" t="s">
        <v>48</v>
      </c>
      <c r="E292" s="3" t="s">
        <v>33</v>
      </c>
      <c r="F292" s="3" t="s">
        <v>160</v>
      </c>
      <c r="G292" s="3">
        <v>2016</v>
      </c>
      <c r="H292" s="3" t="str">
        <f>CONCATENATE("64240377222")</f>
        <v>64240377222</v>
      </c>
      <c r="I292" s="3" t="s">
        <v>25</v>
      </c>
      <c r="J292" s="3" t="s">
        <v>26</v>
      </c>
      <c r="K292" s="3" t="str">
        <f t="shared" si="13"/>
        <v/>
      </c>
      <c r="L292" s="3" t="str">
        <f>CONCATENATE("11 11.2 4b")</f>
        <v>11 11.2 4b</v>
      </c>
      <c r="M292" s="3" t="str">
        <f>CONCATENATE("VTIFLC49L17D564A")</f>
        <v>VTIFLC49L17D564A</v>
      </c>
      <c r="N292" s="3" t="s">
        <v>403</v>
      </c>
      <c r="O292" s="3"/>
      <c r="P292" s="4">
        <v>42783</v>
      </c>
      <c r="Q292" s="3" t="s">
        <v>27</v>
      </c>
      <c r="R292" s="3" t="s">
        <v>28</v>
      </c>
      <c r="S292" s="3" t="s">
        <v>29</v>
      </c>
      <c r="T292" s="5">
        <v>3282.68</v>
      </c>
      <c r="U292" s="5">
        <v>1415.49</v>
      </c>
      <c r="V292" s="5">
        <v>1307.1600000000001</v>
      </c>
      <c r="W292" s="3">
        <v>560.03</v>
      </c>
    </row>
    <row r="293" spans="1:23" ht="60.75">
      <c r="A293" s="3" t="s">
        <v>23</v>
      </c>
      <c r="B293" s="3" t="s">
        <v>24</v>
      </c>
      <c r="C293" s="3" t="s">
        <v>35</v>
      </c>
      <c r="D293" s="3" t="s">
        <v>48</v>
      </c>
      <c r="E293" s="3" t="s">
        <v>30</v>
      </c>
      <c r="F293" s="3" t="s">
        <v>111</v>
      </c>
      <c r="G293" s="3">
        <v>2016</v>
      </c>
      <c r="H293" s="3" t="str">
        <f>CONCATENATE("64240822177")</f>
        <v>64240822177</v>
      </c>
      <c r="I293" s="3" t="s">
        <v>25</v>
      </c>
      <c r="J293" s="3" t="s">
        <v>26</v>
      </c>
      <c r="K293" s="3" t="str">
        <f t="shared" si="13"/>
        <v/>
      </c>
      <c r="L293" s="3" t="str">
        <f>CONCATENATE("11 11.1 4b")</f>
        <v>11 11.1 4b</v>
      </c>
      <c r="M293" s="3" t="str">
        <f>CONCATENATE("CRDVNT76M18L191O")</f>
        <v>CRDVNT76M18L191O</v>
      </c>
      <c r="N293" s="3" t="s">
        <v>404</v>
      </c>
      <c r="O293" s="3"/>
      <c r="P293" s="4">
        <v>42783</v>
      </c>
      <c r="Q293" s="3" t="s">
        <v>27</v>
      </c>
      <c r="R293" s="3" t="s">
        <v>28</v>
      </c>
      <c r="S293" s="3" t="s">
        <v>29</v>
      </c>
      <c r="T293" s="5">
        <v>1220.7</v>
      </c>
      <c r="U293" s="3">
        <v>526.37</v>
      </c>
      <c r="V293" s="3">
        <v>486.08</v>
      </c>
      <c r="W293" s="3">
        <v>208.25</v>
      </c>
    </row>
    <row r="294" spans="1:23" ht="72.75">
      <c r="A294" s="3" t="s">
        <v>23</v>
      </c>
      <c r="B294" s="3" t="s">
        <v>24</v>
      </c>
      <c r="C294" s="3" t="s">
        <v>35</v>
      </c>
      <c r="D294" s="3" t="s">
        <v>36</v>
      </c>
      <c r="E294" s="3" t="s">
        <v>30</v>
      </c>
      <c r="F294" s="3" t="s">
        <v>86</v>
      </c>
      <c r="G294" s="3">
        <v>2016</v>
      </c>
      <c r="H294" s="3" t="str">
        <f>CONCATENATE("64210946691")</f>
        <v>64210946691</v>
      </c>
      <c r="I294" s="3" t="s">
        <v>25</v>
      </c>
      <c r="J294" s="3" t="s">
        <v>26</v>
      </c>
      <c r="K294" s="3" t="str">
        <f t="shared" si="13"/>
        <v/>
      </c>
      <c r="L294" s="3" t="str">
        <f>CONCATENATE("13 13.1 4a")</f>
        <v>13 13.1 4a</v>
      </c>
      <c r="M294" s="3" t="str">
        <f>CONCATENATE("TSTNGL37A30A044O")</f>
        <v>TSTNGL37A30A044O</v>
      </c>
      <c r="N294" s="3" t="s">
        <v>405</v>
      </c>
      <c r="O294" s="3"/>
      <c r="P294" s="4">
        <v>42783</v>
      </c>
      <c r="Q294" s="3" t="s">
        <v>27</v>
      </c>
      <c r="R294" s="3" t="s">
        <v>28</v>
      </c>
      <c r="S294" s="3" t="s">
        <v>29</v>
      </c>
      <c r="T294" s="3">
        <v>458.29</v>
      </c>
      <c r="U294" s="3">
        <v>197.61</v>
      </c>
      <c r="V294" s="3">
        <v>182.49</v>
      </c>
      <c r="W294" s="3">
        <v>78.19</v>
      </c>
    </row>
    <row r="295" spans="1:23" ht="60.75">
      <c r="A295" s="3" t="s">
        <v>23</v>
      </c>
      <c r="B295" s="3" t="s">
        <v>24</v>
      </c>
      <c r="C295" s="3" t="s">
        <v>35</v>
      </c>
      <c r="D295" s="3" t="s">
        <v>48</v>
      </c>
      <c r="E295" s="3" t="s">
        <v>30</v>
      </c>
      <c r="F295" s="3" t="s">
        <v>57</v>
      </c>
      <c r="G295" s="3">
        <v>2016</v>
      </c>
      <c r="H295" s="3" t="str">
        <f>CONCATENATE("64240603023")</f>
        <v>64240603023</v>
      </c>
      <c r="I295" s="3" t="s">
        <v>25</v>
      </c>
      <c r="J295" s="3" t="s">
        <v>26</v>
      </c>
      <c r="K295" s="3" t="str">
        <f t="shared" si="13"/>
        <v/>
      </c>
      <c r="L295" s="3" t="str">
        <f>CONCATENATE("11 11.2 4b")</f>
        <v>11 11.2 4b</v>
      </c>
      <c r="M295" s="3" t="str">
        <f>CONCATENATE("MCCGGN28B63L191B")</f>
        <v>MCCGGN28B63L191B</v>
      </c>
      <c r="N295" s="3" t="s">
        <v>406</v>
      </c>
      <c r="O295" s="3"/>
      <c r="P295" s="4">
        <v>42783</v>
      </c>
      <c r="Q295" s="3" t="s">
        <v>27</v>
      </c>
      <c r="R295" s="3" t="s">
        <v>28</v>
      </c>
      <c r="S295" s="3" t="s">
        <v>29</v>
      </c>
      <c r="T295" s="5">
        <v>1208.53</v>
      </c>
      <c r="U295" s="3">
        <v>521.12</v>
      </c>
      <c r="V295" s="3">
        <v>481.24</v>
      </c>
      <c r="W295" s="3">
        <v>206.17</v>
      </c>
    </row>
    <row r="296" spans="1:23" ht="60.75">
      <c r="A296" s="3" t="s">
        <v>23</v>
      </c>
      <c r="B296" s="3" t="s">
        <v>24</v>
      </c>
      <c r="C296" s="3" t="s">
        <v>35</v>
      </c>
      <c r="D296" s="3" t="s">
        <v>48</v>
      </c>
      <c r="E296" s="3" t="s">
        <v>33</v>
      </c>
      <c r="F296" s="3" t="s">
        <v>212</v>
      </c>
      <c r="G296" s="3">
        <v>2016</v>
      </c>
      <c r="H296" s="3" t="str">
        <f>CONCATENATE("64240741187")</f>
        <v>64240741187</v>
      </c>
      <c r="I296" s="3" t="s">
        <v>31</v>
      </c>
      <c r="J296" s="3" t="s">
        <v>26</v>
      </c>
      <c r="K296" s="3" t="str">
        <f t="shared" si="13"/>
        <v/>
      </c>
      <c r="L296" s="3" t="str">
        <f>CONCATENATE("11 11.2 4b")</f>
        <v>11 11.2 4b</v>
      </c>
      <c r="M296" s="3" t="str">
        <f>CONCATENATE("NGLFNC81P48L366M")</f>
        <v>NGLFNC81P48L366M</v>
      </c>
      <c r="N296" s="3" t="s">
        <v>407</v>
      </c>
      <c r="O296" s="3"/>
      <c r="P296" s="4">
        <v>42783</v>
      </c>
      <c r="Q296" s="3" t="s">
        <v>27</v>
      </c>
      <c r="R296" s="3" t="s">
        <v>28</v>
      </c>
      <c r="S296" s="3" t="s">
        <v>29</v>
      </c>
      <c r="T296" s="5">
        <v>2668.03</v>
      </c>
      <c r="U296" s="5">
        <v>1150.45</v>
      </c>
      <c r="V296" s="5">
        <v>1062.4100000000001</v>
      </c>
      <c r="W296" s="3">
        <v>455.17</v>
      </c>
    </row>
    <row r="297" spans="1:23" ht="60.75">
      <c r="A297" s="3" t="s">
        <v>23</v>
      </c>
      <c r="B297" s="3" t="s">
        <v>24</v>
      </c>
      <c r="C297" s="3" t="s">
        <v>35</v>
      </c>
      <c r="D297" s="3" t="s">
        <v>39</v>
      </c>
      <c r="E297" s="3" t="s">
        <v>34</v>
      </c>
      <c r="F297" s="3" t="s">
        <v>170</v>
      </c>
      <c r="G297" s="3">
        <v>2016</v>
      </c>
      <c r="H297" s="3" t="str">
        <f>CONCATENATE("64240685053")</f>
        <v>64240685053</v>
      </c>
      <c r="I297" s="3" t="s">
        <v>25</v>
      </c>
      <c r="J297" s="3" t="s">
        <v>26</v>
      </c>
      <c r="K297" s="3" t="str">
        <f t="shared" si="13"/>
        <v/>
      </c>
      <c r="L297" s="3" t="str">
        <f>CONCATENATE("11 11.1 4b")</f>
        <v>11 11.1 4b</v>
      </c>
      <c r="M297" s="3" t="str">
        <f>CONCATENATE("PRLLDA61E13A366Z")</f>
        <v>PRLLDA61E13A366Z</v>
      </c>
      <c r="N297" s="3" t="s">
        <v>408</v>
      </c>
      <c r="O297" s="3"/>
      <c r="P297" s="4">
        <v>42783</v>
      </c>
      <c r="Q297" s="3" t="s">
        <v>27</v>
      </c>
      <c r="R297" s="3" t="s">
        <v>28</v>
      </c>
      <c r="S297" s="3" t="s">
        <v>29</v>
      </c>
      <c r="T297" s="5">
        <v>2422.89</v>
      </c>
      <c r="U297" s="5">
        <v>1044.75</v>
      </c>
      <c r="V297" s="3">
        <v>964.79</v>
      </c>
      <c r="W297" s="3">
        <v>413.35</v>
      </c>
    </row>
    <row r="298" spans="1:23" ht="60.75">
      <c r="A298" s="3" t="s">
        <v>23</v>
      </c>
      <c r="B298" s="3" t="s">
        <v>24</v>
      </c>
      <c r="C298" s="3" t="s">
        <v>35</v>
      </c>
      <c r="D298" s="3" t="s">
        <v>43</v>
      </c>
      <c r="E298" s="3" t="s">
        <v>30</v>
      </c>
      <c r="F298" s="3" t="s">
        <v>76</v>
      </c>
      <c r="G298" s="3">
        <v>2016</v>
      </c>
      <c r="H298" s="3" t="str">
        <f>CONCATENATE("64210086621")</f>
        <v>64210086621</v>
      </c>
      <c r="I298" s="3" t="s">
        <v>25</v>
      </c>
      <c r="J298" s="3" t="s">
        <v>26</v>
      </c>
      <c r="K298" s="3" t="str">
        <f t="shared" si="13"/>
        <v/>
      </c>
      <c r="L298" s="3" t="str">
        <f>CONCATENATE("13 13.1 4a")</f>
        <v>13 13.1 4a</v>
      </c>
      <c r="M298" s="3" t="str">
        <f>CONCATENATE("RCLPTR49R09D807Q")</f>
        <v>RCLPTR49R09D807Q</v>
      </c>
      <c r="N298" s="3" t="s">
        <v>409</v>
      </c>
      <c r="O298" s="3"/>
      <c r="P298" s="4">
        <v>42783</v>
      </c>
      <c r="Q298" s="3" t="s">
        <v>27</v>
      </c>
      <c r="R298" s="3" t="s">
        <v>28</v>
      </c>
      <c r="S298" s="3" t="s">
        <v>29</v>
      </c>
      <c r="T298" s="5">
        <v>1856.33</v>
      </c>
      <c r="U298" s="3">
        <v>800.45</v>
      </c>
      <c r="V298" s="3">
        <v>739.19</v>
      </c>
      <c r="W298" s="3">
        <v>316.69</v>
      </c>
    </row>
    <row r="299" spans="1:23" ht="60.75">
      <c r="A299" s="3" t="s">
        <v>23</v>
      </c>
      <c r="B299" s="3" t="s">
        <v>24</v>
      </c>
      <c r="C299" s="3" t="s">
        <v>35</v>
      </c>
      <c r="D299" s="3" t="s">
        <v>36</v>
      </c>
      <c r="E299" s="3" t="s">
        <v>30</v>
      </c>
      <c r="F299" s="3" t="s">
        <v>53</v>
      </c>
      <c r="G299" s="3">
        <v>2016</v>
      </c>
      <c r="H299" s="3" t="str">
        <f>CONCATENATE("64240301131")</f>
        <v>64240301131</v>
      </c>
      <c r="I299" s="3" t="s">
        <v>25</v>
      </c>
      <c r="J299" s="3" t="s">
        <v>26</v>
      </c>
      <c r="K299" s="3" t="str">
        <f t="shared" si="13"/>
        <v/>
      </c>
      <c r="L299" s="3" t="str">
        <f t="shared" ref="L299:L304" si="14">CONCATENATE("11 11.2 4b")</f>
        <v>11 11.2 4b</v>
      </c>
      <c r="M299" s="3" t="str">
        <f>CONCATENATE("LRNDRN58S30H321O")</f>
        <v>LRNDRN58S30H321O</v>
      </c>
      <c r="N299" s="3" t="s">
        <v>410</v>
      </c>
      <c r="O299" s="3"/>
      <c r="P299" s="4">
        <v>42783</v>
      </c>
      <c r="Q299" s="3" t="s">
        <v>27</v>
      </c>
      <c r="R299" s="3" t="s">
        <v>28</v>
      </c>
      <c r="S299" s="3" t="s">
        <v>29</v>
      </c>
      <c r="T299" s="5">
        <v>6914.51</v>
      </c>
      <c r="U299" s="5">
        <v>2981.54</v>
      </c>
      <c r="V299" s="5">
        <v>2753.36</v>
      </c>
      <c r="W299" s="5">
        <v>1179.6099999999999</v>
      </c>
    </row>
    <row r="300" spans="1:23" ht="60.75">
      <c r="A300" s="3" t="s">
        <v>23</v>
      </c>
      <c r="B300" s="3" t="s">
        <v>24</v>
      </c>
      <c r="C300" s="3" t="s">
        <v>35</v>
      </c>
      <c r="D300" s="3" t="s">
        <v>36</v>
      </c>
      <c r="E300" s="3" t="s">
        <v>30</v>
      </c>
      <c r="F300" s="3" t="s">
        <v>37</v>
      </c>
      <c r="G300" s="3">
        <v>2016</v>
      </c>
      <c r="H300" s="3" t="str">
        <f>CONCATENATE("64240202222")</f>
        <v>64240202222</v>
      </c>
      <c r="I300" s="3" t="s">
        <v>25</v>
      </c>
      <c r="J300" s="3" t="s">
        <v>26</v>
      </c>
      <c r="K300" s="3" t="str">
        <f t="shared" si="13"/>
        <v/>
      </c>
      <c r="L300" s="3" t="str">
        <f t="shared" si="14"/>
        <v>11 11.2 4b</v>
      </c>
      <c r="M300" s="3" t="str">
        <f>CONCATENATE("CRLGPP63S04H769K")</f>
        <v>CRLGPP63S04H769K</v>
      </c>
      <c r="N300" s="3" t="s">
        <v>411</v>
      </c>
      <c r="O300" s="3"/>
      <c r="P300" s="4">
        <v>42783</v>
      </c>
      <c r="Q300" s="3" t="s">
        <v>27</v>
      </c>
      <c r="R300" s="3" t="s">
        <v>28</v>
      </c>
      <c r="S300" s="3" t="s">
        <v>29</v>
      </c>
      <c r="T300" s="5">
        <v>3758.68</v>
      </c>
      <c r="U300" s="5">
        <v>1620.74</v>
      </c>
      <c r="V300" s="5">
        <v>1496.71</v>
      </c>
      <c r="W300" s="3">
        <v>641.23</v>
      </c>
    </row>
    <row r="301" spans="1:23" ht="60.75">
      <c r="A301" s="3" t="s">
        <v>23</v>
      </c>
      <c r="B301" s="3" t="s">
        <v>24</v>
      </c>
      <c r="C301" s="3" t="s">
        <v>35</v>
      </c>
      <c r="D301" s="3" t="s">
        <v>48</v>
      </c>
      <c r="E301" s="3" t="s">
        <v>30</v>
      </c>
      <c r="F301" s="3" t="s">
        <v>157</v>
      </c>
      <c r="G301" s="3">
        <v>2016</v>
      </c>
      <c r="H301" s="3" t="str">
        <f>CONCATENATE("64770316913")</f>
        <v>64770316913</v>
      </c>
      <c r="I301" s="3" t="s">
        <v>25</v>
      </c>
      <c r="J301" s="3" t="s">
        <v>52</v>
      </c>
      <c r="K301" s="3" t="str">
        <f>CONCATENATE("214")</f>
        <v>214</v>
      </c>
      <c r="L301" s="3" t="str">
        <f t="shared" si="14"/>
        <v>11 11.2 4b</v>
      </c>
      <c r="M301" s="3" t="str">
        <f>CONCATENATE("LMBGLN62D26H876Y")</f>
        <v>LMBGLN62D26H876Y</v>
      </c>
      <c r="N301" s="3" t="s">
        <v>412</v>
      </c>
      <c r="O301" s="3"/>
      <c r="P301" s="4">
        <v>42783</v>
      </c>
      <c r="Q301" s="3" t="s">
        <v>27</v>
      </c>
      <c r="R301" s="3" t="s">
        <v>28</v>
      </c>
      <c r="S301" s="3" t="s">
        <v>29</v>
      </c>
      <c r="T301" s="5">
        <v>4072.1</v>
      </c>
      <c r="U301" s="5">
        <v>1755.89</v>
      </c>
      <c r="V301" s="5">
        <v>1621.51</v>
      </c>
      <c r="W301" s="3">
        <v>694.7</v>
      </c>
    </row>
    <row r="302" spans="1:23" ht="60.75">
      <c r="A302" s="3" t="s">
        <v>23</v>
      </c>
      <c r="B302" s="3" t="s">
        <v>24</v>
      </c>
      <c r="C302" s="3" t="s">
        <v>35</v>
      </c>
      <c r="D302" s="3" t="s">
        <v>39</v>
      </c>
      <c r="E302" s="3" t="s">
        <v>32</v>
      </c>
      <c r="F302" s="3" t="s">
        <v>215</v>
      </c>
      <c r="G302" s="3">
        <v>2016</v>
      </c>
      <c r="H302" s="3" t="str">
        <f>CONCATENATE("64240344495")</f>
        <v>64240344495</v>
      </c>
      <c r="I302" s="3" t="s">
        <v>25</v>
      </c>
      <c r="J302" s="3" t="s">
        <v>26</v>
      </c>
      <c r="K302" s="3" t="str">
        <f t="shared" ref="K302:K365" si="15">CONCATENATE("")</f>
        <v/>
      </c>
      <c r="L302" s="3" t="str">
        <f t="shared" si="14"/>
        <v>11 11.2 4b</v>
      </c>
      <c r="M302" s="3" t="str">
        <f>CONCATENATE("CNTMRT67S52A366N")</f>
        <v>CNTMRT67S52A366N</v>
      </c>
      <c r="N302" s="3" t="s">
        <v>413</v>
      </c>
      <c r="O302" s="3"/>
      <c r="P302" s="4">
        <v>42783</v>
      </c>
      <c r="Q302" s="3" t="s">
        <v>27</v>
      </c>
      <c r="R302" s="3" t="s">
        <v>28</v>
      </c>
      <c r="S302" s="3" t="s">
        <v>29</v>
      </c>
      <c r="T302" s="5">
        <v>1012.91</v>
      </c>
      <c r="U302" s="3">
        <v>436.77</v>
      </c>
      <c r="V302" s="3">
        <v>403.34</v>
      </c>
      <c r="W302" s="3">
        <v>172.8</v>
      </c>
    </row>
    <row r="303" spans="1:23" ht="72.75">
      <c r="A303" s="3" t="s">
        <v>23</v>
      </c>
      <c r="B303" s="3" t="s">
        <v>24</v>
      </c>
      <c r="C303" s="3" t="s">
        <v>35</v>
      </c>
      <c r="D303" s="3" t="s">
        <v>48</v>
      </c>
      <c r="E303" s="3" t="s">
        <v>30</v>
      </c>
      <c r="F303" s="3" t="s">
        <v>157</v>
      </c>
      <c r="G303" s="3">
        <v>2016</v>
      </c>
      <c r="H303" s="3" t="str">
        <f>CONCATENATE("64240734935")</f>
        <v>64240734935</v>
      </c>
      <c r="I303" s="3" t="s">
        <v>25</v>
      </c>
      <c r="J303" s="3" t="s">
        <v>26</v>
      </c>
      <c r="K303" s="3" t="str">
        <f t="shared" si="15"/>
        <v/>
      </c>
      <c r="L303" s="3" t="str">
        <f t="shared" si="14"/>
        <v>11 11.2 4b</v>
      </c>
      <c r="M303" s="3" t="str">
        <f>CONCATENATE("PCCGNN75R08D211D")</f>
        <v>PCCGNN75R08D211D</v>
      </c>
      <c r="N303" s="3" t="s">
        <v>414</v>
      </c>
      <c r="O303" s="3"/>
      <c r="P303" s="4">
        <v>42783</v>
      </c>
      <c r="Q303" s="3" t="s">
        <v>27</v>
      </c>
      <c r="R303" s="3" t="s">
        <v>28</v>
      </c>
      <c r="S303" s="3" t="s">
        <v>29</v>
      </c>
      <c r="T303" s="5">
        <v>21521.07</v>
      </c>
      <c r="U303" s="5">
        <v>9279.89</v>
      </c>
      <c r="V303" s="5">
        <v>8569.69</v>
      </c>
      <c r="W303" s="5">
        <v>3671.49</v>
      </c>
    </row>
    <row r="304" spans="1:23" ht="60.75">
      <c r="A304" s="3" t="s">
        <v>23</v>
      </c>
      <c r="B304" s="3" t="s">
        <v>24</v>
      </c>
      <c r="C304" s="3" t="s">
        <v>35</v>
      </c>
      <c r="D304" s="3" t="s">
        <v>43</v>
      </c>
      <c r="E304" s="3" t="s">
        <v>30</v>
      </c>
      <c r="F304" s="3" t="s">
        <v>113</v>
      </c>
      <c r="G304" s="3">
        <v>2016</v>
      </c>
      <c r="H304" s="3" t="str">
        <f>CONCATENATE("64240477014")</f>
        <v>64240477014</v>
      </c>
      <c r="I304" s="3" t="s">
        <v>25</v>
      </c>
      <c r="J304" s="3" t="s">
        <v>26</v>
      </c>
      <c r="K304" s="3" t="str">
        <f t="shared" si="15"/>
        <v/>
      </c>
      <c r="L304" s="3" t="str">
        <f t="shared" si="14"/>
        <v>11 11.2 4b</v>
      </c>
      <c r="M304" s="3" t="str">
        <f>CONCATENATE("MRTNTN47S08A327G")</f>
        <v>MRTNTN47S08A327G</v>
      </c>
      <c r="N304" s="3" t="s">
        <v>415</v>
      </c>
      <c r="O304" s="3"/>
      <c r="P304" s="4">
        <v>42783</v>
      </c>
      <c r="Q304" s="3" t="s">
        <v>27</v>
      </c>
      <c r="R304" s="3" t="s">
        <v>28</v>
      </c>
      <c r="S304" s="3" t="s">
        <v>29</v>
      </c>
      <c r="T304" s="5">
        <v>2191.37</v>
      </c>
      <c r="U304" s="3">
        <v>944.92</v>
      </c>
      <c r="V304" s="3">
        <v>872.6</v>
      </c>
      <c r="W304" s="3">
        <v>373.85</v>
      </c>
    </row>
    <row r="305" spans="1:23" ht="36.75">
      <c r="A305" s="3" t="s">
        <v>23</v>
      </c>
      <c r="B305" s="3" t="s">
        <v>24</v>
      </c>
      <c r="C305" s="3" t="s">
        <v>35</v>
      </c>
      <c r="D305" s="3" t="s">
        <v>48</v>
      </c>
      <c r="E305" s="3" t="s">
        <v>30</v>
      </c>
      <c r="F305" s="3" t="s">
        <v>91</v>
      </c>
      <c r="G305" s="3">
        <v>2016</v>
      </c>
      <c r="H305" s="3" t="str">
        <f>CONCATENATE("64210595050")</f>
        <v>64210595050</v>
      </c>
      <c r="I305" s="3" t="s">
        <v>25</v>
      </c>
      <c r="J305" s="3" t="s">
        <v>26</v>
      </c>
      <c r="K305" s="3" t="str">
        <f t="shared" si="15"/>
        <v/>
      </c>
      <c r="L305" s="3" t="str">
        <f>CONCATENATE("13 13.1 4a")</f>
        <v>13 13.1 4a</v>
      </c>
      <c r="M305" s="3" t="str">
        <f>CONCATENATE("01119040432")</f>
        <v>01119040432</v>
      </c>
      <c r="N305" s="3" t="s">
        <v>416</v>
      </c>
      <c r="O305" s="3"/>
      <c r="P305" s="4">
        <v>42783</v>
      </c>
      <c r="Q305" s="3" t="s">
        <v>27</v>
      </c>
      <c r="R305" s="3" t="s">
        <v>28</v>
      </c>
      <c r="S305" s="3" t="s">
        <v>29</v>
      </c>
      <c r="T305" s="5">
        <v>2253.35</v>
      </c>
      <c r="U305" s="3">
        <v>971.64</v>
      </c>
      <c r="V305" s="3">
        <v>897.28</v>
      </c>
      <c r="W305" s="3">
        <v>384.43</v>
      </c>
    </row>
    <row r="306" spans="1:23" ht="60.75">
      <c r="A306" s="3" t="s">
        <v>23</v>
      </c>
      <c r="B306" s="3" t="s">
        <v>24</v>
      </c>
      <c r="C306" s="3" t="s">
        <v>35</v>
      </c>
      <c r="D306" s="3" t="s">
        <v>43</v>
      </c>
      <c r="E306" s="3" t="s">
        <v>32</v>
      </c>
      <c r="F306" s="3" t="s">
        <v>44</v>
      </c>
      <c r="G306" s="3">
        <v>2016</v>
      </c>
      <c r="H306" s="3" t="str">
        <f>CONCATENATE("64210637506")</f>
        <v>64210637506</v>
      </c>
      <c r="I306" s="3" t="s">
        <v>25</v>
      </c>
      <c r="J306" s="3" t="s">
        <v>26</v>
      </c>
      <c r="K306" s="3" t="str">
        <f t="shared" si="15"/>
        <v/>
      </c>
      <c r="L306" s="3" t="str">
        <f>CONCATENATE("13 13.1 4a")</f>
        <v>13 13.1 4a</v>
      </c>
      <c r="M306" s="3" t="str">
        <f>CONCATENATE("LMBDDY85S26D749S")</f>
        <v>LMBDDY85S26D749S</v>
      </c>
      <c r="N306" s="3" t="s">
        <v>400</v>
      </c>
      <c r="O306" s="3"/>
      <c r="P306" s="4">
        <v>42783</v>
      </c>
      <c r="Q306" s="3" t="s">
        <v>27</v>
      </c>
      <c r="R306" s="3" t="s">
        <v>28</v>
      </c>
      <c r="S306" s="3" t="s">
        <v>29</v>
      </c>
      <c r="T306" s="5">
        <v>2995.43</v>
      </c>
      <c r="U306" s="5">
        <v>1291.6300000000001</v>
      </c>
      <c r="V306" s="5">
        <v>1192.78</v>
      </c>
      <c r="W306" s="3">
        <v>511.02</v>
      </c>
    </row>
    <row r="307" spans="1:23" ht="36.75">
      <c r="A307" s="3" t="s">
        <v>23</v>
      </c>
      <c r="B307" s="3" t="s">
        <v>24</v>
      </c>
      <c r="C307" s="3" t="s">
        <v>35</v>
      </c>
      <c r="D307" s="3" t="s">
        <v>43</v>
      </c>
      <c r="E307" s="3" t="s">
        <v>30</v>
      </c>
      <c r="F307" s="3" t="s">
        <v>76</v>
      </c>
      <c r="G307" s="3">
        <v>2016</v>
      </c>
      <c r="H307" s="3" t="str">
        <f>CONCATENATE("64240672911")</f>
        <v>64240672911</v>
      </c>
      <c r="I307" s="3" t="s">
        <v>25</v>
      </c>
      <c r="J307" s="3" t="s">
        <v>26</v>
      </c>
      <c r="K307" s="3" t="str">
        <f t="shared" si="15"/>
        <v/>
      </c>
      <c r="L307" s="3" t="str">
        <f>CONCATENATE("11 11.2 4b")</f>
        <v>11 11.2 4b</v>
      </c>
      <c r="M307" s="3" t="str">
        <f>CONCATENATE("02010570410")</f>
        <v>02010570410</v>
      </c>
      <c r="N307" s="3" t="s">
        <v>417</v>
      </c>
      <c r="O307" s="3"/>
      <c r="P307" s="4">
        <v>42783</v>
      </c>
      <c r="Q307" s="3" t="s">
        <v>27</v>
      </c>
      <c r="R307" s="3" t="s">
        <v>28</v>
      </c>
      <c r="S307" s="3" t="s">
        <v>29</v>
      </c>
      <c r="T307" s="5">
        <v>24068.61</v>
      </c>
      <c r="U307" s="5">
        <v>10378.379999999999</v>
      </c>
      <c r="V307" s="5">
        <v>9584.1200000000008</v>
      </c>
      <c r="W307" s="5">
        <v>4106.1099999999997</v>
      </c>
    </row>
    <row r="308" spans="1:23" ht="60.75">
      <c r="A308" s="3" t="s">
        <v>23</v>
      </c>
      <c r="B308" s="3" t="s">
        <v>24</v>
      </c>
      <c r="C308" s="3" t="s">
        <v>35</v>
      </c>
      <c r="D308" s="3" t="s">
        <v>36</v>
      </c>
      <c r="E308" s="3" t="s">
        <v>32</v>
      </c>
      <c r="F308" s="3" t="s">
        <v>208</v>
      </c>
      <c r="G308" s="3">
        <v>2016</v>
      </c>
      <c r="H308" s="3" t="str">
        <f>CONCATENATE("64240300786")</f>
        <v>64240300786</v>
      </c>
      <c r="I308" s="3" t="s">
        <v>25</v>
      </c>
      <c r="J308" s="3" t="s">
        <v>26</v>
      </c>
      <c r="K308" s="3" t="str">
        <f t="shared" si="15"/>
        <v/>
      </c>
      <c r="L308" s="3" t="str">
        <f>CONCATENATE("11 11.2 4b")</f>
        <v>11 11.2 4b</v>
      </c>
      <c r="M308" s="3" t="str">
        <f>CONCATENATE("DLRLSN93A12A462J")</f>
        <v>DLRLSN93A12A462J</v>
      </c>
      <c r="N308" s="3" t="s">
        <v>418</v>
      </c>
      <c r="O308" s="3"/>
      <c r="P308" s="4">
        <v>42783</v>
      </c>
      <c r="Q308" s="3" t="s">
        <v>27</v>
      </c>
      <c r="R308" s="3" t="s">
        <v>28</v>
      </c>
      <c r="S308" s="3" t="s">
        <v>29</v>
      </c>
      <c r="T308" s="5">
        <v>4181.54</v>
      </c>
      <c r="U308" s="5">
        <v>1803.08</v>
      </c>
      <c r="V308" s="5">
        <v>1665.09</v>
      </c>
      <c r="W308" s="3">
        <v>713.37</v>
      </c>
    </row>
    <row r="309" spans="1:23" ht="60.75">
      <c r="A309" s="3" t="s">
        <v>23</v>
      </c>
      <c r="B309" s="3" t="s">
        <v>24</v>
      </c>
      <c r="C309" s="3" t="s">
        <v>35</v>
      </c>
      <c r="D309" s="3" t="s">
        <v>36</v>
      </c>
      <c r="E309" s="3" t="s">
        <v>30</v>
      </c>
      <c r="F309" s="3" t="s">
        <v>257</v>
      </c>
      <c r="G309" s="3">
        <v>2016</v>
      </c>
      <c r="H309" s="3" t="str">
        <f>CONCATENATE("64240523015")</f>
        <v>64240523015</v>
      </c>
      <c r="I309" s="3" t="s">
        <v>25</v>
      </c>
      <c r="J309" s="3" t="s">
        <v>26</v>
      </c>
      <c r="K309" s="3" t="str">
        <f t="shared" si="15"/>
        <v/>
      </c>
      <c r="L309" s="3" t="str">
        <f>CONCATENATE("11 11.2 4b")</f>
        <v>11 11.2 4b</v>
      </c>
      <c r="M309" s="3" t="str">
        <f>CONCATENATE("LTTGPP72E44F520T")</f>
        <v>LTTGPP72E44F520T</v>
      </c>
      <c r="N309" s="3" t="s">
        <v>419</v>
      </c>
      <c r="O309" s="3"/>
      <c r="P309" s="4">
        <v>42783</v>
      </c>
      <c r="Q309" s="3" t="s">
        <v>27</v>
      </c>
      <c r="R309" s="3" t="s">
        <v>28</v>
      </c>
      <c r="S309" s="3" t="s">
        <v>29</v>
      </c>
      <c r="T309" s="5">
        <v>12160.86</v>
      </c>
      <c r="U309" s="5">
        <v>5243.76</v>
      </c>
      <c r="V309" s="5">
        <v>4842.45</v>
      </c>
      <c r="W309" s="5">
        <v>2074.65</v>
      </c>
    </row>
    <row r="310" spans="1:23" ht="60.75">
      <c r="A310" s="3" t="s">
        <v>23</v>
      </c>
      <c r="B310" s="3" t="s">
        <v>24</v>
      </c>
      <c r="C310" s="3" t="s">
        <v>35</v>
      </c>
      <c r="D310" s="3" t="s">
        <v>36</v>
      </c>
      <c r="E310" s="3" t="s">
        <v>32</v>
      </c>
      <c r="F310" s="3" t="s">
        <v>65</v>
      </c>
      <c r="G310" s="3">
        <v>2016</v>
      </c>
      <c r="H310" s="3" t="str">
        <f>CONCATENATE("64210557282")</f>
        <v>64210557282</v>
      </c>
      <c r="I310" s="3" t="s">
        <v>25</v>
      </c>
      <c r="J310" s="3" t="s">
        <v>26</v>
      </c>
      <c r="K310" s="3" t="str">
        <f t="shared" si="15"/>
        <v/>
      </c>
      <c r="L310" s="3" t="str">
        <f>CONCATENATE("13 13.1 4a")</f>
        <v>13 13.1 4a</v>
      </c>
      <c r="M310" s="3" t="str">
        <f>CONCATENATE("CRQPLG56S12H501G")</f>
        <v>CRQPLG56S12H501G</v>
      </c>
      <c r="N310" s="3" t="s">
        <v>420</v>
      </c>
      <c r="O310" s="3"/>
      <c r="P310" s="4">
        <v>42783</v>
      </c>
      <c r="Q310" s="3" t="s">
        <v>27</v>
      </c>
      <c r="R310" s="3" t="s">
        <v>28</v>
      </c>
      <c r="S310" s="3" t="s">
        <v>29</v>
      </c>
      <c r="T310" s="5">
        <v>2682.56</v>
      </c>
      <c r="U310" s="5">
        <v>1156.72</v>
      </c>
      <c r="V310" s="5">
        <v>1068.2</v>
      </c>
      <c r="W310" s="3">
        <v>457.64</v>
      </c>
    </row>
    <row r="311" spans="1:23" ht="36.75">
      <c r="A311" s="3" t="s">
        <v>23</v>
      </c>
      <c r="B311" s="3" t="s">
        <v>24</v>
      </c>
      <c r="C311" s="3" t="s">
        <v>35</v>
      </c>
      <c r="D311" s="3" t="s">
        <v>36</v>
      </c>
      <c r="E311" s="3" t="s">
        <v>30</v>
      </c>
      <c r="F311" s="3" t="s">
        <v>86</v>
      </c>
      <c r="G311" s="3">
        <v>2016</v>
      </c>
      <c r="H311" s="3" t="str">
        <f>CONCATENATE("64210528010")</f>
        <v>64210528010</v>
      </c>
      <c r="I311" s="3" t="s">
        <v>25</v>
      </c>
      <c r="J311" s="3" t="s">
        <v>26</v>
      </c>
      <c r="K311" s="3" t="str">
        <f t="shared" si="15"/>
        <v/>
      </c>
      <c r="L311" s="3" t="str">
        <f>CONCATENATE("13 13.1 4a")</f>
        <v>13 13.1 4a</v>
      </c>
      <c r="M311" s="3" t="str">
        <f>CONCATENATE("00705630440")</f>
        <v>00705630440</v>
      </c>
      <c r="N311" s="3" t="s">
        <v>421</v>
      </c>
      <c r="O311" s="3"/>
      <c r="P311" s="4">
        <v>42783</v>
      </c>
      <c r="Q311" s="3" t="s">
        <v>27</v>
      </c>
      <c r="R311" s="3" t="s">
        <v>28</v>
      </c>
      <c r="S311" s="3" t="s">
        <v>29</v>
      </c>
      <c r="T311" s="5">
        <v>3884.79</v>
      </c>
      <c r="U311" s="5">
        <v>1675.12</v>
      </c>
      <c r="V311" s="5">
        <v>1546.92</v>
      </c>
      <c r="W311" s="3">
        <v>662.75</v>
      </c>
    </row>
    <row r="312" spans="1:23" ht="36.75">
      <c r="A312" s="3" t="s">
        <v>23</v>
      </c>
      <c r="B312" s="3" t="s">
        <v>24</v>
      </c>
      <c r="C312" s="3" t="s">
        <v>35</v>
      </c>
      <c r="D312" s="3" t="s">
        <v>48</v>
      </c>
      <c r="E312" s="3" t="s">
        <v>30</v>
      </c>
      <c r="F312" s="3" t="s">
        <v>91</v>
      </c>
      <c r="G312" s="3">
        <v>2016</v>
      </c>
      <c r="H312" s="3" t="str">
        <f>CONCATENATE("64210546319")</f>
        <v>64210546319</v>
      </c>
      <c r="I312" s="3" t="s">
        <v>25</v>
      </c>
      <c r="J312" s="3" t="s">
        <v>26</v>
      </c>
      <c r="K312" s="3" t="str">
        <f t="shared" si="15"/>
        <v/>
      </c>
      <c r="L312" s="3" t="str">
        <f>CONCATENATE("13 13.1 4a")</f>
        <v>13 13.1 4a</v>
      </c>
      <c r="M312" s="3" t="str">
        <f>CONCATENATE("01815300437")</f>
        <v>01815300437</v>
      </c>
      <c r="N312" s="3" t="s">
        <v>422</v>
      </c>
      <c r="O312" s="3"/>
      <c r="P312" s="4">
        <v>42783</v>
      </c>
      <c r="Q312" s="3" t="s">
        <v>27</v>
      </c>
      <c r="R312" s="3" t="s">
        <v>28</v>
      </c>
      <c r="S312" s="3" t="s">
        <v>29</v>
      </c>
      <c r="T312" s="5">
        <v>2907.65</v>
      </c>
      <c r="U312" s="5">
        <v>1253.78</v>
      </c>
      <c r="V312" s="5">
        <v>1157.83</v>
      </c>
      <c r="W312" s="3">
        <v>496.04</v>
      </c>
    </row>
    <row r="313" spans="1:23" ht="60.75">
      <c r="A313" s="3" t="s">
        <v>23</v>
      </c>
      <c r="B313" s="3" t="s">
        <v>24</v>
      </c>
      <c r="C313" s="3" t="s">
        <v>35</v>
      </c>
      <c r="D313" s="3" t="s">
        <v>36</v>
      </c>
      <c r="E313" s="3" t="s">
        <v>30</v>
      </c>
      <c r="F313" s="3" t="s">
        <v>37</v>
      </c>
      <c r="G313" s="3">
        <v>2016</v>
      </c>
      <c r="H313" s="3" t="str">
        <f>CONCATENATE("64240616538")</f>
        <v>64240616538</v>
      </c>
      <c r="I313" s="3" t="s">
        <v>25</v>
      </c>
      <c r="J313" s="3" t="s">
        <v>26</v>
      </c>
      <c r="K313" s="3" t="str">
        <f t="shared" si="15"/>
        <v/>
      </c>
      <c r="L313" s="3" t="str">
        <f>CONCATENATE("11 11.1 4b")</f>
        <v>11 11.1 4b</v>
      </c>
      <c r="M313" s="3" t="str">
        <f>CONCATENATE("ZNTMLS71M41E507C")</f>
        <v>ZNTMLS71M41E507C</v>
      </c>
      <c r="N313" s="3" t="s">
        <v>423</v>
      </c>
      <c r="O313" s="3"/>
      <c r="P313" s="4">
        <v>42783</v>
      </c>
      <c r="Q313" s="3" t="s">
        <v>27</v>
      </c>
      <c r="R313" s="3" t="s">
        <v>28</v>
      </c>
      <c r="S313" s="3" t="s">
        <v>29</v>
      </c>
      <c r="T313" s="5">
        <v>1865.86</v>
      </c>
      <c r="U313" s="3">
        <v>804.56</v>
      </c>
      <c r="V313" s="3">
        <v>742.99</v>
      </c>
      <c r="W313" s="3">
        <v>318.31</v>
      </c>
    </row>
    <row r="314" spans="1:23" ht="36.75">
      <c r="A314" s="3" t="s">
        <v>23</v>
      </c>
      <c r="B314" s="3" t="s">
        <v>24</v>
      </c>
      <c r="C314" s="3" t="s">
        <v>35</v>
      </c>
      <c r="D314" s="3" t="s">
        <v>39</v>
      </c>
      <c r="E314" s="3" t="s">
        <v>30</v>
      </c>
      <c r="F314" s="3" t="s">
        <v>72</v>
      </c>
      <c r="G314" s="3">
        <v>2016</v>
      </c>
      <c r="H314" s="3" t="str">
        <f>CONCATENATE("64240574596")</f>
        <v>64240574596</v>
      </c>
      <c r="I314" s="3" t="s">
        <v>31</v>
      </c>
      <c r="J314" s="3" t="s">
        <v>26</v>
      </c>
      <c r="K314" s="3" t="str">
        <f t="shared" si="15"/>
        <v/>
      </c>
      <c r="L314" s="3" t="str">
        <f>CONCATENATE("11 11.2 4b")</f>
        <v>11 11.2 4b</v>
      </c>
      <c r="M314" s="3" t="str">
        <f>CONCATENATE("02359650427")</f>
        <v>02359650427</v>
      </c>
      <c r="N314" s="3" t="s">
        <v>424</v>
      </c>
      <c r="O314" s="3"/>
      <c r="P314" s="4">
        <v>42783</v>
      </c>
      <c r="Q314" s="3" t="s">
        <v>27</v>
      </c>
      <c r="R314" s="3" t="s">
        <v>28</v>
      </c>
      <c r="S314" s="3" t="s">
        <v>29</v>
      </c>
      <c r="T314" s="5">
        <v>1496.36</v>
      </c>
      <c r="U314" s="3">
        <v>645.23</v>
      </c>
      <c r="V314" s="3">
        <v>595.85</v>
      </c>
      <c r="W314" s="3">
        <v>255.28</v>
      </c>
    </row>
    <row r="315" spans="1:23" ht="60.75">
      <c r="A315" s="3" t="s">
        <v>23</v>
      </c>
      <c r="B315" s="3" t="s">
        <v>24</v>
      </c>
      <c r="C315" s="3" t="s">
        <v>35</v>
      </c>
      <c r="D315" s="3" t="s">
        <v>43</v>
      </c>
      <c r="E315" s="3" t="s">
        <v>30</v>
      </c>
      <c r="F315" s="3" t="s">
        <v>131</v>
      </c>
      <c r="G315" s="3">
        <v>2016</v>
      </c>
      <c r="H315" s="3" t="str">
        <f>CONCATENATE("64211106840")</f>
        <v>64211106840</v>
      </c>
      <c r="I315" s="3" t="s">
        <v>25</v>
      </c>
      <c r="J315" s="3" t="s">
        <v>26</v>
      </c>
      <c r="K315" s="3" t="str">
        <f t="shared" si="15"/>
        <v/>
      </c>
      <c r="L315" s="3" t="str">
        <f>CONCATENATE("13 13.1 4a")</f>
        <v>13 13.1 4a</v>
      </c>
      <c r="M315" s="3" t="str">
        <f>CONCATENATE("RFFJCB96T25L500S")</f>
        <v>RFFJCB96T25L500S</v>
      </c>
      <c r="N315" s="3" t="s">
        <v>425</v>
      </c>
      <c r="O315" s="3"/>
      <c r="P315" s="4">
        <v>42783</v>
      </c>
      <c r="Q315" s="3" t="s">
        <v>27</v>
      </c>
      <c r="R315" s="3" t="s">
        <v>28</v>
      </c>
      <c r="S315" s="3" t="s">
        <v>29</v>
      </c>
      <c r="T315" s="5">
        <v>2731.42</v>
      </c>
      <c r="U315" s="5">
        <v>1177.79</v>
      </c>
      <c r="V315" s="5">
        <v>1087.6500000000001</v>
      </c>
      <c r="W315" s="3">
        <v>465.98</v>
      </c>
    </row>
    <row r="316" spans="1:23" ht="36.75">
      <c r="A316" s="3" t="s">
        <v>23</v>
      </c>
      <c r="B316" s="3" t="s">
        <v>24</v>
      </c>
      <c r="C316" s="3" t="s">
        <v>35</v>
      </c>
      <c r="D316" s="3" t="s">
        <v>43</v>
      </c>
      <c r="E316" s="3" t="s">
        <v>30</v>
      </c>
      <c r="F316" s="3" t="s">
        <v>124</v>
      </c>
      <c r="G316" s="3">
        <v>2016</v>
      </c>
      <c r="H316" s="3" t="str">
        <f>CONCATENATE("64240735601")</f>
        <v>64240735601</v>
      </c>
      <c r="I316" s="3" t="s">
        <v>25</v>
      </c>
      <c r="J316" s="3" t="s">
        <v>26</v>
      </c>
      <c r="K316" s="3" t="str">
        <f t="shared" si="15"/>
        <v/>
      </c>
      <c r="L316" s="3" t="str">
        <f>CONCATENATE("11 11.1 4b")</f>
        <v>11 11.1 4b</v>
      </c>
      <c r="M316" s="3" t="str">
        <f>CONCATENATE("02605800412")</f>
        <v>02605800412</v>
      </c>
      <c r="N316" s="3" t="s">
        <v>426</v>
      </c>
      <c r="O316" s="3"/>
      <c r="P316" s="4">
        <v>42783</v>
      </c>
      <c r="Q316" s="3" t="s">
        <v>27</v>
      </c>
      <c r="R316" s="3" t="s">
        <v>28</v>
      </c>
      <c r="S316" s="3" t="s">
        <v>29</v>
      </c>
      <c r="T316" s="5">
        <v>9755.5</v>
      </c>
      <c r="U316" s="5">
        <v>4206.57</v>
      </c>
      <c r="V316" s="5">
        <v>3884.64</v>
      </c>
      <c r="W316" s="5">
        <v>1664.29</v>
      </c>
    </row>
    <row r="317" spans="1:23" ht="60.75">
      <c r="A317" s="3" t="s">
        <v>23</v>
      </c>
      <c r="B317" s="3" t="s">
        <v>24</v>
      </c>
      <c r="C317" s="3" t="s">
        <v>35</v>
      </c>
      <c r="D317" s="3" t="s">
        <v>36</v>
      </c>
      <c r="E317" s="3" t="s">
        <v>32</v>
      </c>
      <c r="F317" s="3" t="s">
        <v>179</v>
      </c>
      <c r="G317" s="3">
        <v>2016</v>
      </c>
      <c r="H317" s="3" t="str">
        <f>CONCATENATE("64240579991")</f>
        <v>64240579991</v>
      </c>
      <c r="I317" s="3" t="s">
        <v>25</v>
      </c>
      <c r="J317" s="3" t="s">
        <v>26</v>
      </c>
      <c r="K317" s="3" t="str">
        <f t="shared" si="15"/>
        <v/>
      </c>
      <c r="L317" s="3" t="str">
        <f>CONCATENATE("10 10.1 4b")</f>
        <v>10 10.1 4b</v>
      </c>
      <c r="M317" s="3" t="str">
        <f>CONCATENATE("SBEGNN58D20F415Q")</f>
        <v>SBEGNN58D20F415Q</v>
      </c>
      <c r="N317" s="3" t="s">
        <v>427</v>
      </c>
      <c r="O317" s="3"/>
      <c r="P317" s="4">
        <v>42783</v>
      </c>
      <c r="Q317" s="3" t="s">
        <v>27</v>
      </c>
      <c r="R317" s="3" t="s">
        <v>28</v>
      </c>
      <c r="S317" s="3" t="s">
        <v>29</v>
      </c>
      <c r="T317" s="5">
        <v>5164.29</v>
      </c>
      <c r="U317" s="5">
        <v>2226.84</v>
      </c>
      <c r="V317" s="5">
        <v>2056.42</v>
      </c>
      <c r="W317" s="3">
        <v>881.03</v>
      </c>
    </row>
    <row r="318" spans="1:23" ht="60.75">
      <c r="A318" s="3" t="s">
        <v>23</v>
      </c>
      <c r="B318" s="3" t="s">
        <v>24</v>
      </c>
      <c r="C318" s="3" t="s">
        <v>35</v>
      </c>
      <c r="D318" s="3" t="s">
        <v>36</v>
      </c>
      <c r="E318" s="3" t="s">
        <v>33</v>
      </c>
      <c r="F318" s="3" t="s">
        <v>89</v>
      </c>
      <c r="G318" s="3">
        <v>2016</v>
      </c>
      <c r="H318" s="3" t="str">
        <f>CONCATENATE("64240601712")</f>
        <v>64240601712</v>
      </c>
      <c r="I318" s="3" t="s">
        <v>25</v>
      </c>
      <c r="J318" s="3" t="s">
        <v>26</v>
      </c>
      <c r="K318" s="3" t="str">
        <f t="shared" si="15"/>
        <v/>
      </c>
      <c r="L318" s="3" t="str">
        <f>CONCATENATE("11 11.2 4b")</f>
        <v>11 11.2 4b</v>
      </c>
      <c r="M318" s="3" t="str">
        <f>CONCATENATE("LLMCLL64L51A760Y")</f>
        <v>LLMCLL64L51A760Y</v>
      </c>
      <c r="N318" s="3" t="s">
        <v>428</v>
      </c>
      <c r="O318" s="3"/>
      <c r="P318" s="4">
        <v>42783</v>
      </c>
      <c r="Q318" s="3" t="s">
        <v>27</v>
      </c>
      <c r="R318" s="3" t="s">
        <v>28</v>
      </c>
      <c r="S318" s="3" t="s">
        <v>29</v>
      </c>
      <c r="T318" s="5">
        <v>1269.81</v>
      </c>
      <c r="U318" s="3">
        <v>547.54</v>
      </c>
      <c r="V318" s="3">
        <v>505.64</v>
      </c>
      <c r="W318" s="3">
        <v>216.63</v>
      </c>
    </row>
    <row r="319" spans="1:23" ht="60.75">
      <c r="A319" s="3" t="s">
        <v>23</v>
      </c>
      <c r="B319" s="3" t="s">
        <v>24</v>
      </c>
      <c r="C319" s="3" t="s">
        <v>35</v>
      </c>
      <c r="D319" s="3" t="s">
        <v>39</v>
      </c>
      <c r="E319" s="3" t="s">
        <v>30</v>
      </c>
      <c r="F319" s="3" t="s">
        <v>196</v>
      </c>
      <c r="G319" s="3">
        <v>2016</v>
      </c>
      <c r="H319" s="3" t="str">
        <f>CONCATENATE("64240739520")</f>
        <v>64240739520</v>
      </c>
      <c r="I319" s="3" t="s">
        <v>25</v>
      </c>
      <c r="J319" s="3" t="s">
        <v>26</v>
      </c>
      <c r="K319" s="3" t="str">
        <f t="shared" si="15"/>
        <v/>
      </c>
      <c r="L319" s="3" t="str">
        <f>CONCATENATE("10 10.1 4a")</f>
        <v>10 10.1 4a</v>
      </c>
      <c r="M319" s="3" t="str">
        <f>CONCATENATE("PRNLDA45L30D597S")</f>
        <v>PRNLDA45L30D597S</v>
      </c>
      <c r="N319" s="3" t="s">
        <v>429</v>
      </c>
      <c r="O319" s="3"/>
      <c r="P319" s="4">
        <v>42783</v>
      </c>
      <c r="Q319" s="3" t="s">
        <v>27</v>
      </c>
      <c r="R319" s="3" t="s">
        <v>28</v>
      </c>
      <c r="S319" s="3" t="s">
        <v>29</v>
      </c>
      <c r="T319" s="3">
        <v>583.67999999999995</v>
      </c>
      <c r="U319" s="3">
        <v>251.68</v>
      </c>
      <c r="V319" s="3">
        <v>232.42</v>
      </c>
      <c r="W319" s="3">
        <v>99.58</v>
      </c>
    </row>
    <row r="320" spans="1:23" ht="60.75">
      <c r="A320" s="3" t="s">
        <v>23</v>
      </c>
      <c r="B320" s="3" t="s">
        <v>24</v>
      </c>
      <c r="C320" s="3" t="s">
        <v>35</v>
      </c>
      <c r="D320" s="3" t="s">
        <v>36</v>
      </c>
      <c r="E320" s="3" t="s">
        <v>30</v>
      </c>
      <c r="F320" s="3" t="s">
        <v>37</v>
      </c>
      <c r="G320" s="3">
        <v>2016</v>
      </c>
      <c r="H320" s="3" t="str">
        <f>CONCATENATE("64210497430")</f>
        <v>64210497430</v>
      </c>
      <c r="I320" s="3" t="s">
        <v>25</v>
      </c>
      <c r="J320" s="3" t="s">
        <v>26</v>
      </c>
      <c r="K320" s="3" t="str">
        <f t="shared" si="15"/>
        <v/>
      </c>
      <c r="L320" s="3" t="str">
        <f>CONCATENATE("13 13.1 4a")</f>
        <v>13 13.1 4a</v>
      </c>
      <c r="M320" s="3" t="str">
        <f>CONCATENATE("FRTDNC36L14F570S")</f>
        <v>FRTDNC36L14F570S</v>
      </c>
      <c r="N320" s="3" t="s">
        <v>430</v>
      </c>
      <c r="O320" s="3"/>
      <c r="P320" s="4">
        <v>42783</v>
      </c>
      <c r="Q320" s="3" t="s">
        <v>27</v>
      </c>
      <c r="R320" s="3" t="s">
        <v>28</v>
      </c>
      <c r="S320" s="3" t="s">
        <v>29</v>
      </c>
      <c r="T320" s="3">
        <v>710.23</v>
      </c>
      <c r="U320" s="3">
        <v>306.25</v>
      </c>
      <c r="V320" s="3">
        <v>282.81</v>
      </c>
      <c r="W320" s="3">
        <v>121.17</v>
      </c>
    </row>
    <row r="321" spans="1:23" ht="36.75">
      <c r="A321" s="3" t="s">
        <v>23</v>
      </c>
      <c r="B321" s="3" t="s">
        <v>24</v>
      </c>
      <c r="C321" s="3" t="s">
        <v>35</v>
      </c>
      <c r="D321" s="3" t="s">
        <v>43</v>
      </c>
      <c r="E321" s="3" t="s">
        <v>34</v>
      </c>
      <c r="F321" s="3" t="s">
        <v>146</v>
      </c>
      <c r="G321" s="3">
        <v>2016</v>
      </c>
      <c r="H321" s="3" t="str">
        <f>CONCATENATE("64240392189")</f>
        <v>64240392189</v>
      </c>
      <c r="I321" s="3" t="s">
        <v>25</v>
      </c>
      <c r="J321" s="3" t="s">
        <v>26</v>
      </c>
      <c r="K321" s="3" t="str">
        <f t="shared" si="15"/>
        <v/>
      </c>
      <c r="L321" s="3" t="str">
        <f>CONCATENATE("11 11.1 4b")</f>
        <v>11 11.1 4b</v>
      </c>
      <c r="M321" s="3" t="str">
        <f>CONCATENATE("01334220413")</f>
        <v>01334220413</v>
      </c>
      <c r="N321" s="3" t="s">
        <v>431</v>
      </c>
      <c r="O321" s="3"/>
      <c r="P321" s="4">
        <v>42783</v>
      </c>
      <c r="Q321" s="3" t="s">
        <v>27</v>
      </c>
      <c r="R321" s="3" t="s">
        <v>28</v>
      </c>
      <c r="S321" s="3" t="s">
        <v>29</v>
      </c>
      <c r="T321" s="5">
        <v>7807.51</v>
      </c>
      <c r="U321" s="5">
        <v>3366.6</v>
      </c>
      <c r="V321" s="5">
        <v>3108.95</v>
      </c>
      <c r="W321" s="5">
        <v>1331.96</v>
      </c>
    </row>
    <row r="322" spans="1:23" ht="60.75">
      <c r="A322" s="3" t="s">
        <v>23</v>
      </c>
      <c r="B322" s="3" t="s">
        <v>24</v>
      </c>
      <c r="C322" s="3" t="s">
        <v>35</v>
      </c>
      <c r="D322" s="3" t="s">
        <v>36</v>
      </c>
      <c r="E322" s="3" t="s">
        <v>32</v>
      </c>
      <c r="F322" s="3" t="s">
        <v>179</v>
      </c>
      <c r="G322" s="3">
        <v>2016</v>
      </c>
      <c r="H322" s="3" t="str">
        <f>CONCATENATE("64240604203")</f>
        <v>64240604203</v>
      </c>
      <c r="I322" s="3" t="s">
        <v>31</v>
      </c>
      <c r="J322" s="3" t="s">
        <v>26</v>
      </c>
      <c r="K322" s="3" t="str">
        <f t="shared" si="15"/>
        <v/>
      </c>
      <c r="L322" s="3" t="str">
        <f>CONCATENATE("10 10.1 4b")</f>
        <v>10 10.1 4b</v>
      </c>
      <c r="M322" s="3" t="str">
        <f>CONCATENATE("MCZNZE48A17F722S")</f>
        <v>MCZNZE48A17F722S</v>
      </c>
      <c r="N322" s="3" t="s">
        <v>432</v>
      </c>
      <c r="O322" s="3"/>
      <c r="P322" s="4">
        <v>42783</v>
      </c>
      <c r="Q322" s="3" t="s">
        <v>27</v>
      </c>
      <c r="R322" s="3" t="s">
        <v>28</v>
      </c>
      <c r="S322" s="3" t="s">
        <v>29</v>
      </c>
      <c r="T322" s="5">
        <v>1234.4000000000001</v>
      </c>
      <c r="U322" s="3">
        <v>532.27</v>
      </c>
      <c r="V322" s="3">
        <v>491.54</v>
      </c>
      <c r="W322" s="3">
        <v>210.59</v>
      </c>
    </row>
    <row r="323" spans="1:23" ht="60.75">
      <c r="A323" s="3" t="s">
        <v>23</v>
      </c>
      <c r="B323" s="3" t="s">
        <v>24</v>
      </c>
      <c r="C323" s="3" t="s">
        <v>35</v>
      </c>
      <c r="D323" s="3" t="s">
        <v>36</v>
      </c>
      <c r="E323" s="3" t="s">
        <v>33</v>
      </c>
      <c r="F323" s="3" t="s">
        <v>89</v>
      </c>
      <c r="G323" s="3">
        <v>2016</v>
      </c>
      <c r="H323" s="3" t="str">
        <f>CONCATENATE("64240670204")</f>
        <v>64240670204</v>
      </c>
      <c r="I323" s="3" t="s">
        <v>25</v>
      </c>
      <c r="J323" s="3" t="s">
        <v>26</v>
      </c>
      <c r="K323" s="3" t="str">
        <f t="shared" si="15"/>
        <v/>
      </c>
      <c r="L323" s="3" t="str">
        <f>CONCATENATE("11 11.2 4b")</f>
        <v>11 11.2 4b</v>
      </c>
      <c r="M323" s="3" t="str">
        <f>CONCATENATE("FLCCRL59C42A258L")</f>
        <v>FLCCRL59C42A258L</v>
      </c>
      <c r="N323" s="3" t="s">
        <v>433</v>
      </c>
      <c r="O323" s="3"/>
      <c r="P323" s="4">
        <v>42783</v>
      </c>
      <c r="Q323" s="3" t="s">
        <v>27</v>
      </c>
      <c r="R323" s="3" t="s">
        <v>28</v>
      </c>
      <c r="S323" s="3" t="s">
        <v>29</v>
      </c>
      <c r="T323" s="5">
        <v>1886.27</v>
      </c>
      <c r="U323" s="3">
        <v>813.36</v>
      </c>
      <c r="V323" s="3">
        <v>751.11</v>
      </c>
      <c r="W323" s="3">
        <v>321.8</v>
      </c>
    </row>
    <row r="324" spans="1:23" ht="72.75">
      <c r="A324" s="3" t="s">
        <v>23</v>
      </c>
      <c r="B324" s="3" t="s">
        <v>24</v>
      </c>
      <c r="C324" s="3" t="s">
        <v>35</v>
      </c>
      <c r="D324" s="3" t="s">
        <v>39</v>
      </c>
      <c r="E324" s="3" t="s">
        <v>30</v>
      </c>
      <c r="F324" s="3" t="s">
        <v>84</v>
      </c>
      <c r="G324" s="3">
        <v>2016</v>
      </c>
      <c r="H324" s="3" t="str">
        <f>CONCATENATE("64210982571")</f>
        <v>64210982571</v>
      </c>
      <c r="I324" s="3" t="s">
        <v>25</v>
      </c>
      <c r="J324" s="3" t="s">
        <v>26</v>
      </c>
      <c r="K324" s="3" t="str">
        <f t="shared" si="15"/>
        <v/>
      </c>
      <c r="L324" s="3" t="str">
        <f>CONCATENATE("13 13.1 4a")</f>
        <v>13 13.1 4a</v>
      </c>
      <c r="M324" s="3" t="str">
        <f>CONCATENATE("RGGRLD45M02D451D")</f>
        <v>RGGRLD45M02D451D</v>
      </c>
      <c r="N324" s="3" t="s">
        <v>434</v>
      </c>
      <c r="O324" s="3"/>
      <c r="P324" s="4">
        <v>42783</v>
      </c>
      <c r="Q324" s="3" t="s">
        <v>27</v>
      </c>
      <c r="R324" s="3" t="s">
        <v>28</v>
      </c>
      <c r="S324" s="3" t="s">
        <v>29</v>
      </c>
      <c r="T324" s="5">
        <v>3833.69</v>
      </c>
      <c r="U324" s="5">
        <v>1653.09</v>
      </c>
      <c r="V324" s="5">
        <v>1526.58</v>
      </c>
      <c r="W324" s="3">
        <v>654.02</v>
      </c>
    </row>
    <row r="325" spans="1:23" ht="60.75">
      <c r="A325" s="3" t="s">
        <v>23</v>
      </c>
      <c r="B325" s="3" t="s">
        <v>24</v>
      </c>
      <c r="C325" s="3" t="s">
        <v>35</v>
      </c>
      <c r="D325" s="3" t="s">
        <v>36</v>
      </c>
      <c r="E325" s="3" t="s">
        <v>33</v>
      </c>
      <c r="F325" s="3" t="s">
        <v>192</v>
      </c>
      <c r="G325" s="3">
        <v>2016</v>
      </c>
      <c r="H325" s="3" t="str">
        <f>CONCATENATE("64240640934")</f>
        <v>64240640934</v>
      </c>
      <c r="I325" s="3" t="s">
        <v>25</v>
      </c>
      <c r="J325" s="3" t="s">
        <v>26</v>
      </c>
      <c r="K325" s="3" t="str">
        <f t="shared" si="15"/>
        <v/>
      </c>
      <c r="L325" s="3" t="str">
        <f>CONCATENATE("11 11.2 4b")</f>
        <v>11 11.2 4b</v>
      </c>
      <c r="M325" s="3" t="str">
        <f>CONCATENATE("CRBSTN62S44H321V")</f>
        <v>CRBSTN62S44H321V</v>
      </c>
      <c r="N325" s="3" t="s">
        <v>435</v>
      </c>
      <c r="O325" s="3"/>
      <c r="P325" s="4">
        <v>42783</v>
      </c>
      <c r="Q325" s="3" t="s">
        <v>27</v>
      </c>
      <c r="R325" s="3" t="s">
        <v>28</v>
      </c>
      <c r="S325" s="3" t="s">
        <v>29</v>
      </c>
      <c r="T325" s="5">
        <v>3067.08</v>
      </c>
      <c r="U325" s="5">
        <v>1322.52</v>
      </c>
      <c r="V325" s="5">
        <v>1221.31</v>
      </c>
      <c r="W325" s="3">
        <v>523.25</v>
      </c>
    </row>
    <row r="326" spans="1:23" ht="60.75">
      <c r="A326" s="3" t="s">
        <v>23</v>
      </c>
      <c r="B326" s="3" t="s">
        <v>24</v>
      </c>
      <c r="C326" s="3" t="s">
        <v>35</v>
      </c>
      <c r="D326" s="3" t="s">
        <v>36</v>
      </c>
      <c r="E326" s="3" t="s">
        <v>33</v>
      </c>
      <c r="F326" s="3" t="s">
        <v>89</v>
      </c>
      <c r="G326" s="3">
        <v>2016</v>
      </c>
      <c r="H326" s="3" t="str">
        <f>CONCATENATE("64210713216")</f>
        <v>64210713216</v>
      </c>
      <c r="I326" s="3" t="s">
        <v>25</v>
      </c>
      <c r="J326" s="3" t="s">
        <v>26</v>
      </c>
      <c r="K326" s="3" t="str">
        <f t="shared" si="15"/>
        <v/>
      </c>
      <c r="L326" s="3" t="str">
        <f>CONCATENATE("13 13.1 4a")</f>
        <v>13 13.1 4a</v>
      </c>
      <c r="M326" s="3" t="str">
        <f>CONCATENATE("BRTFNC41E06F570O")</f>
        <v>BRTFNC41E06F570O</v>
      </c>
      <c r="N326" s="3" t="s">
        <v>436</v>
      </c>
      <c r="O326" s="3"/>
      <c r="P326" s="4">
        <v>42783</v>
      </c>
      <c r="Q326" s="3" t="s">
        <v>27</v>
      </c>
      <c r="R326" s="3" t="s">
        <v>28</v>
      </c>
      <c r="S326" s="3" t="s">
        <v>29</v>
      </c>
      <c r="T326" s="3">
        <v>928.6</v>
      </c>
      <c r="U326" s="3">
        <v>400.41</v>
      </c>
      <c r="V326" s="3">
        <v>369.77</v>
      </c>
      <c r="W326" s="3">
        <v>158.41999999999999</v>
      </c>
    </row>
    <row r="327" spans="1:23" ht="60.75">
      <c r="A327" s="3" t="s">
        <v>23</v>
      </c>
      <c r="B327" s="3" t="s">
        <v>24</v>
      </c>
      <c r="C327" s="3" t="s">
        <v>35</v>
      </c>
      <c r="D327" s="3" t="s">
        <v>43</v>
      </c>
      <c r="E327" s="3" t="s">
        <v>30</v>
      </c>
      <c r="F327" s="3" t="s">
        <v>76</v>
      </c>
      <c r="G327" s="3">
        <v>2016</v>
      </c>
      <c r="H327" s="3" t="str">
        <f>CONCATENATE("64210086423")</f>
        <v>64210086423</v>
      </c>
      <c r="I327" s="3" t="s">
        <v>25</v>
      </c>
      <c r="J327" s="3" t="s">
        <v>26</v>
      </c>
      <c r="K327" s="3" t="str">
        <f t="shared" si="15"/>
        <v/>
      </c>
      <c r="L327" s="3" t="str">
        <f>CONCATENATE("13 13.1 4a")</f>
        <v>13 13.1 4a</v>
      </c>
      <c r="M327" s="3" t="str">
        <f>CONCATENATE("CAUZEI63B01I749B")</f>
        <v>CAUZEI63B01I749B</v>
      </c>
      <c r="N327" s="3" t="s">
        <v>437</v>
      </c>
      <c r="O327" s="3"/>
      <c r="P327" s="4">
        <v>42783</v>
      </c>
      <c r="Q327" s="3" t="s">
        <v>27</v>
      </c>
      <c r="R327" s="3" t="s">
        <v>28</v>
      </c>
      <c r="S327" s="3" t="s">
        <v>29</v>
      </c>
      <c r="T327" s="5">
        <v>2987</v>
      </c>
      <c r="U327" s="5">
        <v>1287.99</v>
      </c>
      <c r="V327" s="5">
        <v>1189.42</v>
      </c>
      <c r="W327" s="3">
        <v>509.59</v>
      </c>
    </row>
    <row r="328" spans="1:23" ht="60.75">
      <c r="A328" s="3" t="s">
        <v>23</v>
      </c>
      <c r="B328" s="3" t="s">
        <v>24</v>
      </c>
      <c r="C328" s="3" t="s">
        <v>35</v>
      </c>
      <c r="D328" s="3" t="s">
        <v>48</v>
      </c>
      <c r="E328" s="3" t="s">
        <v>49</v>
      </c>
      <c r="F328" s="3" t="s">
        <v>80</v>
      </c>
      <c r="G328" s="3">
        <v>2016</v>
      </c>
      <c r="H328" s="3" t="str">
        <f>CONCATENATE("64210650756")</f>
        <v>64210650756</v>
      </c>
      <c r="I328" s="3" t="s">
        <v>25</v>
      </c>
      <c r="J328" s="3" t="s">
        <v>26</v>
      </c>
      <c r="K328" s="3" t="str">
        <f t="shared" si="15"/>
        <v/>
      </c>
      <c r="L328" s="3" t="str">
        <f>CONCATENATE("13 13.1 4a")</f>
        <v>13 13.1 4a</v>
      </c>
      <c r="M328" s="3" t="str">
        <f>CONCATENATE("BRBFBA76E01B474C")</f>
        <v>BRBFBA76E01B474C</v>
      </c>
      <c r="N328" s="3" t="s">
        <v>438</v>
      </c>
      <c r="O328" s="3"/>
      <c r="P328" s="4">
        <v>42783</v>
      </c>
      <c r="Q328" s="3" t="s">
        <v>27</v>
      </c>
      <c r="R328" s="3" t="s">
        <v>28</v>
      </c>
      <c r="S328" s="3" t="s">
        <v>29</v>
      </c>
      <c r="T328" s="5">
        <v>4449.38</v>
      </c>
      <c r="U328" s="5">
        <v>1918.57</v>
      </c>
      <c r="V328" s="5">
        <v>1771.74</v>
      </c>
      <c r="W328" s="3">
        <v>759.07</v>
      </c>
    </row>
    <row r="329" spans="1:23" ht="60.75">
      <c r="A329" s="3" t="s">
        <v>23</v>
      </c>
      <c r="B329" s="3" t="s">
        <v>24</v>
      </c>
      <c r="C329" s="3" t="s">
        <v>35</v>
      </c>
      <c r="D329" s="3" t="s">
        <v>36</v>
      </c>
      <c r="E329" s="3" t="s">
        <v>30</v>
      </c>
      <c r="F329" s="3" t="s">
        <v>37</v>
      </c>
      <c r="G329" s="3">
        <v>2016</v>
      </c>
      <c r="H329" s="3" t="str">
        <f>CONCATENATE("64240406856")</f>
        <v>64240406856</v>
      </c>
      <c r="I329" s="3" t="s">
        <v>25</v>
      </c>
      <c r="J329" s="3" t="s">
        <v>26</v>
      </c>
      <c r="K329" s="3" t="str">
        <f t="shared" si="15"/>
        <v/>
      </c>
      <c r="L329" s="3" t="str">
        <f>CONCATENATE("11 11.2 4b")</f>
        <v>11 11.2 4b</v>
      </c>
      <c r="M329" s="3" t="str">
        <f>CONCATENATE("BRCMLL64C54G516S")</f>
        <v>BRCMLL64C54G516S</v>
      </c>
      <c r="N329" s="3" t="s">
        <v>439</v>
      </c>
      <c r="O329" s="3"/>
      <c r="P329" s="4">
        <v>42783</v>
      </c>
      <c r="Q329" s="3" t="s">
        <v>27</v>
      </c>
      <c r="R329" s="3" t="s">
        <v>28</v>
      </c>
      <c r="S329" s="3" t="s">
        <v>29</v>
      </c>
      <c r="T329" s="5">
        <v>1469.56</v>
      </c>
      <c r="U329" s="3">
        <v>633.66999999999996</v>
      </c>
      <c r="V329" s="3">
        <v>585.17999999999995</v>
      </c>
      <c r="W329" s="3">
        <v>250.71</v>
      </c>
    </row>
    <row r="330" spans="1:23" ht="36.75">
      <c r="A330" s="3" t="s">
        <v>23</v>
      </c>
      <c r="B330" s="3" t="s">
        <v>24</v>
      </c>
      <c r="C330" s="3" t="s">
        <v>35</v>
      </c>
      <c r="D330" s="3" t="s">
        <v>36</v>
      </c>
      <c r="E330" s="3" t="s">
        <v>59</v>
      </c>
      <c r="F330" s="3" t="s">
        <v>62</v>
      </c>
      <c r="G330" s="3">
        <v>2016</v>
      </c>
      <c r="H330" s="3" t="str">
        <f>CONCATENATE("64240492757")</f>
        <v>64240492757</v>
      </c>
      <c r="I330" s="3" t="s">
        <v>25</v>
      </c>
      <c r="J330" s="3" t="s">
        <v>26</v>
      </c>
      <c r="K330" s="3" t="str">
        <f t="shared" si="15"/>
        <v/>
      </c>
      <c r="L330" s="3" t="str">
        <f>CONCATENATE("11 11.1 4b")</f>
        <v>11 11.1 4b</v>
      </c>
      <c r="M330" s="3" t="str">
        <f>CONCATENATE("02274460449")</f>
        <v>02274460449</v>
      </c>
      <c r="N330" s="3" t="s">
        <v>440</v>
      </c>
      <c r="O330" s="3"/>
      <c r="P330" s="4">
        <v>42783</v>
      </c>
      <c r="Q330" s="3" t="s">
        <v>27</v>
      </c>
      <c r="R330" s="3" t="s">
        <v>28</v>
      </c>
      <c r="S330" s="3" t="s">
        <v>29</v>
      </c>
      <c r="T330" s="5">
        <v>4708.17</v>
      </c>
      <c r="U330" s="5">
        <v>2030.16</v>
      </c>
      <c r="V330" s="5">
        <v>1874.79</v>
      </c>
      <c r="W330" s="3">
        <v>803.22</v>
      </c>
    </row>
    <row r="331" spans="1:23" ht="36.75">
      <c r="A331" s="3" t="s">
        <v>23</v>
      </c>
      <c r="B331" s="3" t="s">
        <v>24</v>
      </c>
      <c r="C331" s="3" t="s">
        <v>35</v>
      </c>
      <c r="D331" s="3" t="s">
        <v>43</v>
      </c>
      <c r="E331" s="3" t="s">
        <v>30</v>
      </c>
      <c r="F331" s="3" t="s">
        <v>76</v>
      </c>
      <c r="G331" s="3">
        <v>2016</v>
      </c>
      <c r="H331" s="3" t="str">
        <f>CONCATENATE("64210086613")</f>
        <v>64210086613</v>
      </c>
      <c r="I331" s="3" t="s">
        <v>31</v>
      </c>
      <c r="J331" s="3" t="s">
        <v>26</v>
      </c>
      <c r="K331" s="3" t="str">
        <f t="shared" si="15"/>
        <v/>
      </c>
      <c r="L331" s="3" t="str">
        <f>CONCATENATE("13 13.1 4a")</f>
        <v>13 13.1 4a</v>
      </c>
      <c r="M331" s="3" t="str">
        <f>CONCATENATE("01415010410")</f>
        <v>01415010410</v>
      </c>
      <c r="N331" s="3" t="s">
        <v>441</v>
      </c>
      <c r="O331" s="3"/>
      <c r="P331" s="4">
        <v>42783</v>
      </c>
      <c r="Q331" s="3" t="s">
        <v>27</v>
      </c>
      <c r="R331" s="3" t="s">
        <v>28</v>
      </c>
      <c r="S331" s="3" t="s">
        <v>29</v>
      </c>
      <c r="T331" s="5">
        <v>3815.81</v>
      </c>
      <c r="U331" s="5">
        <v>1645.38</v>
      </c>
      <c r="V331" s="5">
        <v>1519.46</v>
      </c>
      <c r="W331" s="3">
        <v>650.97</v>
      </c>
    </row>
    <row r="332" spans="1:23" ht="60.75">
      <c r="A332" s="3" t="s">
        <v>23</v>
      </c>
      <c r="B332" s="3" t="s">
        <v>24</v>
      </c>
      <c r="C332" s="3" t="s">
        <v>35</v>
      </c>
      <c r="D332" s="3" t="s">
        <v>43</v>
      </c>
      <c r="E332" s="3" t="s">
        <v>30</v>
      </c>
      <c r="F332" s="3" t="s">
        <v>76</v>
      </c>
      <c r="G332" s="3">
        <v>2016</v>
      </c>
      <c r="H332" s="3" t="str">
        <f>CONCATENATE("64210107666")</f>
        <v>64210107666</v>
      </c>
      <c r="I332" s="3" t="s">
        <v>25</v>
      </c>
      <c r="J332" s="3" t="s">
        <v>26</v>
      </c>
      <c r="K332" s="3" t="str">
        <f t="shared" si="15"/>
        <v/>
      </c>
      <c r="L332" s="3" t="str">
        <f>CONCATENATE("13 13.1 4a")</f>
        <v>13 13.1 4a</v>
      </c>
      <c r="M332" s="3" t="str">
        <f>CONCATENATE("TPOFRZ66L14I287V")</f>
        <v>TPOFRZ66L14I287V</v>
      </c>
      <c r="N332" s="3" t="s">
        <v>442</v>
      </c>
      <c r="O332" s="3"/>
      <c r="P332" s="4">
        <v>42783</v>
      </c>
      <c r="Q332" s="3" t="s">
        <v>27</v>
      </c>
      <c r="R332" s="3" t="s">
        <v>28</v>
      </c>
      <c r="S332" s="3" t="s">
        <v>29</v>
      </c>
      <c r="T332" s="5">
        <v>4022.57</v>
      </c>
      <c r="U332" s="5">
        <v>1734.53</v>
      </c>
      <c r="V332" s="5">
        <v>1601.79</v>
      </c>
      <c r="W332" s="3">
        <v>686.25</v>
      </c>
    </row>
    <row r="333" spans="1:23" ht="60.75">
      <c r="A333" s="3" t="s">
        <v>23</v>
      </c>
      <c r="B333" s="3" t="s">
        <v>24</v>
      </c>
      <c r="C333" s="3" t="s">
        <v>35</v>
      </c>
      <c r="D333" s="3" t="s">
        <v>39</v>
      </c>
      <c r="E333" s="3" t="s">
        <v>30</v>
      </c>
      <c r="F333" s="3" t="s">
        <v>196</v>
      </c>
      <c r="G333" s="3">
        <v>2016</v>
      </c>
      <c r="H333" s="3" t="str">
        <f>CONCATENATE("64240689394")</f>
        <v>64240689394</v>
      </c>
      <c r="I333" s="3" t="s">
        <v>25</v>
      </c>
      <c r="J333" s="3" t="s">
        <v>26</v>
      </c>
      <c r="K333" s="3" t="str">
        <f t="shared" si="15"/>
        <v/>
      </c>
      <c r="L333" s="3" t="str">
        <f>CONCATENATE("11 11.2 4b")</f>
        <v>11 11.2 4b</v>
      </c>
      <c r="M333" s="3" t="str">
        <f>CONCATENATE("FDRPLC63R18A769F")</f>
        <v>FDRPLC63R18A769F</v>
      </c>
      <c r="N333" s="3" t="s">
        <v>443</v>
      </c>
      <c r="O333" s="3"/>
      <c r="P333" s="4">
        <v>42783</v>
      </c>
      <c r="Q333" s="3" t="s">
        <v>27</v>
      </c>
      <c r="R333" s="3" t="s">
        <v>28</v>
      </c>
      <c r="S333" s="3" t="s">
        <v>29</v>
      </c>
      <c r="T333" s="5">
        <v>3952.66</v>
      </c>
      <c r="U333" s="5">
        <v>1704.39</v>
      </c>
      <c r="V333" s="5">
        <v>1573.95</v>
      </c>
      <c r="W333" s="3">
        <v>674.32</v>
      </c>
    </row>
    <row r="334" spans="1:23" ht="72.75">
      <c r="A334" s="3" t="s">
        <v>23</v>
      </c>
      <c r="B334" s="3" t="s">
        <v>24</v>
      </c>
      <c r="C334" s="3" t="s">
        <v>35</v>
      </c>
      <c r="D334" s="3" t="s">
        <v>48</v>
      </c>
      <c r="E334" s="3" t="s">
        <v>30</v>
      </c>
      <c r="F334" s="3" t="s">
        <v>91</v>
      </c>
      <c r="G334" s="3">
        <v>2016</v>
      </c>
      <c r="H334" s="3" t="str">
        <f>CONCATENATE("64210525586")</f>
        <v>64210525586</v>
      </c>
      <c r="I334" s="3" t="s">
        <v>25</v>
      </c>
      <c r="J334" s="3" t="s">
        <v>26</v>
      </c>
      <c r="K334" s="3" t="str">
        <f t="shared" si="15"/>
        <v/>
      </c>
      <c r="L334" s="3" t="str">
        <f>CONCATENATE("13 13.1 4a")</f>
        <v>13 13.1 4a</v>
      </c>
      <c r="M334" s="3" t="str">
        <f>CONCATENATE("PLMTNN63D27G637N")</f>
        <v>PLMTNN63D27G637N</v>
      </c>
      <c r="N334" s="3" t="s">
        <v>444</v>
      </c>
      <c r="O334" s="3"/>
      <c r="P334" s="4">
        <v>42783</v>
      </c>
      <c r="Q334" s="3" t="s">
        <v>27</v>
      </c>
      <c r="R334" s="3" t="s">
        <v>28</v>
      </c>
      <c r="S334" s="3" t="s">
        <v>29</v>
      </c>
      <c r="T334" s="5">
        <v>4590</v>
      </c>
      <c r="U334" s="5">
        <v>1979.21</v>
      </c>
      <c r="V334" s="5">
        <v>1827.74</v>
      </c>
      <c r="W334" s="3">
        <v>783.05</v>
      </c>
    </row>
    <row r="335" spans="1:23" ht="60.75">
      <c r="A335" s="3" t="s">
        <v>23</v>
      </c>
      <c r="B335" s="3" t="s">
        <v>24</v>
      </c>
      <c r="C335" s="3" t="s">
        <v>35</v>
      </c>
      <c r="D335" s="3" t="s">
        <v>39</v>
      </c>
      <c r="E335" s="3" t="s">
        <v>30</v>
      </c>
      <c r="F335" s="3" t="s">
        <v>84</v>
      </c>
      <c r="G335" s="3">
        <v>2016</v>
      </c>
      <c r="H335" s="3" t="str">
        <f>CONCATENATE("64211106949")</f>
        <v>64211106949</v>
      </c>
      <c r="I335" s="3" t="s">
        <v>25</v>
      </c>
      <c r="J335" s="3" t="s">
        <v>26</v>
      </c>
      <c r="K335" s="3" t="str">
        <f t="shared" si="15"/>
        <v/>
      </c>
      <c r="L335" s="3" t="str">
        <f>CONCATENATE("13 13.1 4a")</f>
        <v>13 13.1 4a</v>
      </c>
      <c r="M335" s="3" t="str">
        <f>CONCATENATE("CPPSNT59L46D451M")</f>
        <v>CPPSNT59L46D451M</v>
      </c>
      <c r="N335" s="3" t="s">
        <v>445</v>
      </c>
      <c r="O335" s="3"/>
      <c r="P335" s="4">
        <v>42783</v>
      </c>
      <c r="Q335" s="3" t="s">
        <v>27</v>
      </c>
      <c r="R335" s="3" t="s">
        <v>28</v>
      </c>
      <c r="S335" s="3" t="s">
        <v>29</v>
      </c>
      <c r="T335" s="5">
        <v>1411.54</v>
      </c>
      <c r="U335" s="3">
        <v>608.66</v>
      </c>
      <c r="V335" s="3">
        <v>562.08000000000004</v>
      </c>
      <c r="W335" s="3">
        <v>240.8</v>
      </c>
    </row>
    <row r="336" spans="1:23" ht="60.75">
      <c r="A336" s="3" t="s">
        <v>23</v>
      </c>
      <c r="B336" s="3" t="s">
        <v>24</v>
      </c>
      <c r="C336" s="3" t="s">
        <v>35</v>
      </c>
      <c r="D336" s="3" t="s">
        <v>43</v>
      </c>
      <c r="E336" s="3" t="s">
        <v>30</v>
      </c>
      <c r="F336" s="3" t="s">
        <v>76</v>
      </c>
      <c r="G336" s="3">
        <v>2016</v>
      </c>
      <c r="H336" s="3" t="str">
        <f>CONCATENATE("64210159055")</f>
        <v>64210159055</v>
      </c>
      <c r="I336" s="3" t="s">
        <v>25</v>
      </c>
      <c r="J336" s="3" t="s">
        <v>26</v>
      </c>
      <c r="K336" s="3" t="str">
        <f t="shared" si="15"/>
        <v/>
      </c>
      <c r="L336" s="3" t="str">
        <f>CONCATENATE("13 13.1 4a")</f>
        <v>13 13.1 4a</v>
      </c>
      <c r="M336" s="3" t="str">
        <f>CONCATENATE("CAUMCL57S04I749K")</f>
        <v>CAUMCL57S04I749K</v>
      </c>
      <c r="N336" s="3" t="s">
        <v>446</v>
      </c>
      <c r="O336" s="3"/>
      <c r="P336" s="4">
        <v>42783</v>
      </c>
      <c r="Q336" s="3" t="s">
        <v>27</v>
      </c>
      <c r="R336" s="3" t="s">
        <v>28</v>
      </c>
      <c r="S336" s="3" t="s">
        <v>29</v>
      </c>
      <c r="T336" s="5">
        <v>4590</v>
      </c>
      <c r="U336" s="5">
        <v>1979.21</v>
      </c>
      <c r="V336" s="5">
        <v>1827.74</v>
      </c>
      <c r="W336" s="3">
        <v>783.05</v>
      </c>
    </row>
    <row r="337" spans="1:23" ht="72.75">
      <c r="A337" s="3" t="s">
        <v>23</v>
      </c>
      <c r="B337" s="3" t="s">
        <v>24</v>
      </c>
      <c r="C337" s="3" t="s">
        <v>35</v>
      </c>
      <c r="D337" s="3" t="s">
        <v>43</v>
      </c>
      <c r="E337" s="3" t="s">
        <v>30</v>
      </c>
      <c r="F337" s="3" t="s">
        <v>76</v>
      </c>
      <c r="G337" s="3">
        <v>2016</v>
      </c>
      <c r="H337" s="3" t="str">
        <f>CONCATENATE("64210096760")</f>
        <v>64210096760</v>
      </c>
      <c r="I337" s="3" t="s">
        <v>25</v>
      </c>
      <c r="J337" s="3" t="s">
        <v>26</v>
      </c>
      <c r="K337" s="3" t="str">
        <f t="shared" si="15"/>
        <v/>
      </c>
      <c r="L337" s="3" t="str">
        <f>CONCATENATE("13 13.1 4a")</f>
        <v>13 13.1 4a</v>
      </c>
      <c r="M337" s="3" t="str">
        <f>CONCATENATE("RSSMSM69T06E785N")</f>
        <v>RSSMSM69T06E785N</v>
      </c>
      <c r="N337" s="3" t="s">
        <v>447</v>
      </c>
      <c r="O337" s="3"/>
      <c r="P337" s="4">
        <v>42783</v>
      </c>
      <c r="Q337" s="3" t="s">
        <v>27</v>
      </c>
      <c r="R337" s="3" t="s">
        <v>28</v>
      </c>
      <c r="S337" s="3" t="s">
        <v>29</v>
      </c>
      <c r="T337" s="5">
        <v>1069.1600000000001</v>
      </c>
      <c r="U337" s="3">
        <v>461.02</v>
      </c>
      <c r="V337" s="3">
        <v>425.74</v>
      </c>
      <c r="W337" s="3">
        <v>182.4</v>
      </c>
    </row>
    <row r="338" spans="1:23" ht="72.75">
      <c r="A338" s="3" t="s">
        <v>23</v>
      </c>
      <c r="B338" s="3" t="s">
        <v>24</v>
      </c>
      <c r="C338" s="3" t="s">
        <v>35</v>
      </c>
      <c r="D338" s="3" t="s">
        <v>48</v>
      </c>
      <c r="E338" s="3" t="s">
        <v>30</v>
      </c>
      <c r="F338" s="3" t="s">
        <v>91</v>
      </c>
      <c r="G338" s="3">
        <v>2016</v>
      </c>
      <c r="H338" s="3" t="str">
        <f>CONCATENATE("64240579348")</f>
        <v>64240579348</v>
      </c>
      <c r="I338" s="3" t="s">
        <v>25</v>
      </c>
      <c r="J338" s="3" t="s">
        <v>26</v>
      </c>
      <c r="K338" s="3" t="str">
        <f t="shared" si="15"/>
        <v/>
      </c>
      <c r="L338" s="3" t="str">
        <f>CONCATENATE("11 11.1 4b")</f>
        <v>11 11.1 4b</v>
      </c>
      <c r="M338" s="3" t="str">
        <f>CONCATENATE("SNTFNC78R54D653N")</f>
        <v>SNTFNC78R54D653N</v>
      </c>
      <c r="N338" s="3" t="s">
        <v>448</v>
      </c>
      <c r="O338" s="3"/>
      <c r="P338" s="4">
        <v>42783</v>
      </c>
      <c r="Q338" s="3" t="s">
        <v>27</v>
      </c>
      <c r="R338" s="3" t="s">
        <v>28</v>
      </c>
      <c r="S338" s="3" t="s">
        <v>29</v>
      </c>
      <c r="T338" s="5">
        <v>13549.43</v>
      </c>
      <c r="U338" s="5">
        <v>5842.51</v>
      </c>
      <c r="V338" s="5">
        <v>5395.38</v>
      </c>
      <c r="W338" s="5">
        <v>2311.54</v>
      </c>
    </row>
    <row r="339" spans="1:23" ht="60.75">
      <c r="A339" s="3" t="s">
        <v>23</v>
      </c>
      <c r="B339" s="3" t="s">
        <v>24</v>
      </c>
      <c r="C339" s="3" t="s">
        <v>35</v>
      </c>
      <c r="D339" s="3" t="s">
        <v>43</v>
      </c>
      <c r="E339" s="3" t="s">
        <v>32</v>
      </c>
      <c r="F339" s="3" t="s">
        <v>78</v>
      </c>
      <c r="G339" s="3">
        <v>2016</v>
      </c>
      <c r="H339" s="3" t="str">
        <f>CONCATENATE("64240335576")</f>
        <v>64240335576</v>
      </c>
      <c r="I339" s="3" t="s">
        <v>25</v>
      </c>
      <c r="J339" s="3" t="s">
        <v>26</v>
      </c>
      <c r="K339" s="3" t="str">
        <f t="shared" si="15"/>
        <v/>
      </c>
      <c r="L339" s="3" t="str">
        <f>CONCATENATE("11 11.2 4b")</f>
        <v>11 11.2 4b</v>
      </c>
      <c r="M339" s="3" t="str">
        <f>CONCATENATE("CGRMRA49C14A978P")</f>
        <v>CGRMRA49C14A978P</v>
      </c>
      <c r="N339" s="3" t="s">
        <v>449</v>
      </c>
      <c r="O339" s="3"/>
      <c r="P339" s="4">
        <v>42783</v>
      </c>
      <c r="Q339" s="3" t="s">
        <v>27</v>
      </c>
      <c r="R339" s="3" t="s">
        <v>28</v>
      </c>
      <c r="S339" s="3" t="s">
        <v>29</v>
      </c>
      <c r="T339" s="5">
        <v>4425.5200000000004</v>
      </c>
      <c r="U339" s="5">
        <v>1908.28</v>
      </c>
      <c r="V339" s="5">
        <v>1762.24</v>
      </c>
      <c r="W339" s="3">
        <v>755</v>
      </c>
    </row>
    <row r="340" spans="1:23" ht="72.75">
      <c r="A340" s="3" t="s">
        <v>23</v>
      </c>
      <c r="B340" s="3" t="s">
        <v>24</v>
      </c>
      <c r="C340" s="3" t="s">
        <v>35</v>
      </c>
      <c r="D340" s="3" t="s">
        <v>48</v>
      </c>
      <c r="E340" s="3" t="s">
        <v>30</v>
      </c>
      <c r="F340" s="3" t="s">
        <v>91</v>
      </c>
      <c r="G340" s="3">
        <v>2016</v>
      </c>
      <c r="H340" s="3" t="str">
        <f>CONCATENATE("64240315784")</f>
        <v>64240315784</v>
      </c>
      <c r="I340" s="3" t="s">
        <v>25</v>
      </c>
      <c r="J340" s="3" t="s">
        <v>26</v>
      </c>
      <c r="K340" s="3" t="str">
        <f t="shared" si="15"/>
        <v/>
      </c>
      <c r="L340" s="3" t="str">
        <f>CONCATENATE("11 11.1 4b")</f>
        <v>11 11.1 4b</v>
      </c>
      <c r="M340" s="3" t="str">
        <f>CONCATENATE("DSNSBE36D03M078D")</f>
        <v>DSNSBE36D03M078D</v>
      </c>
      <c r="N340" s="3" t="s">
        <v>450</v>
      </c>
      <c r="O340" s="3"/>
      <c r="P340" s="4">
        <v>42783</v>
      </c>
      <c r="Q340" s="3" t="s">
        <v>27</v>
      </c>
      <c r="R340" s="3" t="s">
        <v>28</v>
      </c>
      <c r="S340" s="3" t="s">
        <v>29</v>
      </c>
      <c r="T340" s="5">
        <v>6539.72</v>
      </c>
      <c r="U340" s="5">
        <v>2819.93</v>
      </c>
      <c r="V340" s="5">
        <v>2604.12</v>
      </c>
      <c r="W340" s="5">
        <v>1115.67</v>
      </c>
    </row>
    <row r="341" spans="1:23" ht="60.75">
      <c r="A341" s="3" t="s">
        <v>23</v>
      </c>
      <c r="B341" s="3" t="s">
        <v>24</v>
      </c>
      <c r="C341" s="3" t="s">
        <v>35</v>
      </c>
      <c r="D341" s="3" t="s">
        <v>43</v>
      </c>
      <c r="E341" s="3" t="s">
        <v>30</v>
      </c>
      <c r="F341" s="3" t="s">
        <v>124</v>
      </c>
      <c r="G341" s="3">
        <v>2016</v>
      </c>
      <c r="H341" s="3" t="str">
        <f>CONCATENATE("64210692790")</f>
        <v>64210692790</v>
      </c>
      <c r="I341" s="3" t="s">
        <v>25</v>
      </c>
      <c r="J341" s="3" t="s">
        <v>26</v>
      </c>
      <c r="K341" s="3" t="str">
        <f t="shared" si="15"/>
        <v/>
      </c>
      <c r="L341" s="3" t="str">
        <f>CONCATENATE("13 13.1 4a")</f>
        <v>13 13.1 4a</v>
      </c>
      <c r="M341" s="3" t="str">
        <f>CONCATENATE("PRLFLV68A09F135Q")</f>
        <v>PRLFLV68A09F135Q</v>
      </c>
      <c r="N341" s="3" t="s">
        <v>451</v>
      </c>
      <c r="O341" s="3"/>
      <c r="P341" s="4">
        <v>42783</v>
      </c>
      <c r="Q341" s="3" t="s">
        <v>27</v>
      </c>
      <c r="R341" s="3" t="s">
        <v>28</v>
      </c>
      <c r="S341" s="3" t="s">
        <v>29</v>
      </c>
      <c r="T341" s="3">
        <v>857.99</v>
      </c>
      <c r="U341" s="3">
        <v>369.97</v>
      </c>
      <c r="V341" s="3">
        <v>341.65</v>
      </c>
      <c r="W341" s="3">
        <v>146.37</v>
      </c>
    </row>
    <row r="342" spans="1:23" ht="36.75">
      <c r="A342" s="3" t="s">
        <v>23</v>
      </c>
      <c r="B342" s="3" t="s">
        <v>24</v>
      </c>
      <c r="C342" s="3" t="s">
        <v>35</v>
      </c>
      <c r="D342" s="3" t="s">
        <v>43</v>
      </c>
      <c r="E342" s="3" t="s">
        <v>49</v>
      </c>
      <c r="F342" s="3" t="s">
        <v>276</v>
      </c>
      <c r="G342" s="3">
        <v>2016</v>
      </c>
      <c r="H342" s="3" t="str">
        <f>CONCATENATE("64240648028")</f>
        <v>64240648028</v>
      </c>
      <c r="I342" s="3" t="s">
        <v>25</v>
      </c>
      <c r="J342" s="3" t="s">
        <v>26</v>
      </c>
      <c r="K342" s="3" t="str">
        <f t="shared" si="15"/>
        <v/>
      </c>
      <c r="L342" s="3" t="str">
        <f>CONCATENATE("11 11.1 4b")</f>
        <v>11 11.1 4b</v>
      </c>
      <c r="M342" s="3" t="str">
        <f>CONCATENATE("02588960415")</f>
        <v>02588960415</v>
      </c>
      <c r="N342" s="3" t="s">
        <v>452</v>
      </c>
      <c r="O342" s="3"/>
      <c r="P342" s="4">
        <v>42783</v>
      </c>
      <c r="Q342" s="3" t="s">
        <v>27</v>
      </c>
      <c r="R342" s="3" t="s">
        <v>28</v>
      </c>
      <c r="S342" s="3" t="s">
        <v>29</v>
      </c>
      <c r="T342" s="5">
        <v>10222.89</v>
      </c>
      <c r="U342" s="5">
        <v>4408.1099999999997</v>
      </c>
      <c r="V342" s="5">
        <v>4070.75</v>
      </c>
      <c r="W342" s="5">
        <v>1744.03</v>
      </c>
    </row>
    <row r="343" spans="1:23" ht="60.75">
      <c r="A343" s="3" t="s">
        <v>23</v>
      </c>
      <c r="B343" s="3" t="s">
        <v>24</v>
      </c>
      <c r="C343" s="3" t="s">
        <v>35</v>
      </c>
      <c r="D343" s="3" t="s">
        <v>43</v>
      </c>
      <c r="E343" s="3" t="s">
        <v>34</v>
      </c>
      <c r="F343" s="3" t="s">
        <v>146</v>
      </c>
      <c r="G343" s="3">
        <v>2016</v>
      </c>
      <c r="H343" s="3" t="str">
        <f>CONCATENATE("64240206595")</f>
        <v>64240206595</v>
      </c>
      <c r="I343" s="3" t="s">
        <v>25</v>
      </c>
      <c r="J343" s="3" t="s">
        <v>26</v>
      </c>
      <c r="K343" s="3" t="str">
        <f t="shared" si="15"/>
        <v/>
      </c>
      <c r="L343" s="3" t="str">
        <f>CONCATENATE("11 11.2 4b")</f>
        <v>11 11.2 4b</v>
      </c>
      <c r="M343" s="3" t="str">
        <f>CONCATENATE("RFODNC29H21G453F")</f>
        <v>RFODNC29H21G453F</v>
      </c>
      <c r="N343" s="3" t="s">
        <v>453</v>
      </c>
      <c r="O343" s="3"/>
      <c r="P343" s="4">
        <v>42783</v>
      </c>
      <c r="Q343" s="3" t="s">
        <v>27</v>
      </c>
      <c r="R343" s="3" t="s">
        <v>28</v>
      </c>
      <c r="S343" s="3" t="s">
        <v>29</v>
      </c>
      <c r="T343" s="5">
        <v>4757.09</v>
      </c>
      <c r="U343" s="5">
        <v>2051.2600000000002</v>
      </c>
      <c r="V343" s="5">
        <v>1894.27</v>
      </c>
      <c r="W343" s="3">
        <v>811.56</v>
      </c>
    </row>
    <row r="344" spans="1:23" ht="60.75">
      <c r="A344" s="3" t="s">
        <v>23</v>
      </c>
      <c r="B344" s="3" t="s">
        <v>24</v>
      </c>
      <c r="C344" s="3" t="s">
        <v>35</v>
      </c>
      <c r="D344" s="3" t="s">
        <v>36</v>
      </c>
      <c r="E344" s="3" t="s">
        <v>42</v>
      </c>
      <c r="F344" s="3" t="s">
        <v>42</v>
      </c>
      <c r="G344" s="3">
        <v>2016</v>
      </c>
      <c r="H344" s="3" t="str">
        <f>CONCATENATE("64240094249")</f>
        <v>64240094249</v>
      </c>
      <c r="I344" s="3" t="s">
        <v>25</v>
      </c>
      <c r="J344" s="3" t="s">
        <v>26</v>
      </c>
      <c r="K344" s="3" t="str">
        <f t="shared" si="15"/>
        <v/>
      </c>
      <c r="L344" s="3" t="str">
        <f>CONCATENATE("11 11.2 4b")</f>
        <v>11 11.2 4b</v>
      </c>
      <c r="M344" s="3" t="str">
        <f>CONCATENATE("CRBGNE37P20H321K")</f>
        <v>CRBGNE37P20H321K</v>
      </c>
      <c r="N344" s="3" t="s">
        <v>454</v>
      </c>
      <c r="O344" s="3"/>
      <c r="P344" s="4">
        <v>42783</v>
      </c>
      <c r="Q344" s="3" t="s">
        <v>27</v>
      </c>
      <c r="R344" s="3" t="s">
        <v>28</v>
      </c>
      <c r="S344" s="3" t="s">
        <v>29</v>
      </c>
      <c r="T344" s="3">
        <v>401.71</v>
      </c>
      <c r="U344" s="3">
        <v>173.22</v>
      </c>
      <c r="V344" s="3">
        <v>159.96</v>
      </c>
      <c r="W344" s="3">
        <v>68.53</v>
      </c>
    </row>
    <row r="345" spans="1:23" ht="60.75">
      <c r="A345" s="3" t="s">
        <v>23</v>
      </c>
      <c r="B345" s="3" t="s">
        <v>24</v>
      </c>
      <c r="C345" s="3" t="s">
        <v>35</v>
      </c>
      <c r="D345" s="3" t="s">
        <v>48</v>
      </c>
      <c r="E345" s="3" t="s">
        <v>49</v>
      </c>
      <c r="F345" s="3" t="s">
        <v>50</v>
      </c>
      <c r="G345" s="3">
        <v>2016</v>
      </c>
      <c r="H345" s="3" t="str">
        <f>CONCATENATE("64240887717")</f>
        <v>64240887717</v>
      </c>
      <c r="I345" s="3" t="s">
        <v>25</v>
      </c>
      <c r="J345" s="3" t="s">
        <v>26</v>
      </c>
      <c r="K345" s="3" t="str">
        <f t="shared" si="15"/>
        <v/>
      </c>
      <c r="L345" s="3" t="str">
        <f>CONCATENATE("11 11.2 4b")</f>
        <v>11 11.2 4b</v>
      </c>
      <c r="M345" s="3" t="str">
        <f>CONCATENATE("VSSPLA64H21E783D")</f>
        <v>VSSPLA64H21E783D</v>
      </c>
      <c r="N345" s="3" t="s">
        <v>455</v>
      </c>
      <c r="O345" s="3"/>
      <c r="P345" s="4">
        <v>42783</v>
      </c>
      <c r="Q345" s="3" t="s">
        <v>27</v>
      </c>
      <c r="R345" s="3" t="s">
        <v>28</v>
      </c>
      <c r="S345" s="3" t="s">
        <v>29</v>
      </c>
      <c r="T345" s="5">
        <v>2316.8200000000002</v>
      </c>
      <c r="U345" s="3">
        <v>999.01</v>
      </c>
      <c r="V345" s="3">
        <v>922.56</v>
      </c>
      <c r="W345" s="3">
        <v>395.25</v>
      </c>
    </row>
    <row r="346" spans="1:23" ht="36.75">
      <c r="A346" s="3" t="s">
        <v>23</v>
      </c>
      <c r="B346" s="3" t="s">
        <v>24</v>
      </c>
      <c r="C346" s="3" t="s">
        <v>35</v>
      </c>
      <c r="D346" s="3" t="s">
        <v>39</v>
      </c>
      <c r="E346" s="3" t="s">
        <v>32</v>
      </c>
      <c r="F346" s="3" t="s">
        <v>69</v>
      </c>
      <c r="G346" s="3">
        <v>2016</v>
      </c>
      <c r="H346" s="3" t="str">
        <f>CONCATENATE("64210775801")</f>
        <v>64210775801</v>
      </c>
      <c r="I346" s="3" t="s">
        <v>25</v>
      </c>
      <c r="J346" s="3" t="s">
        <v>26</v>
      </c>
      <c r="K346" s="3" t="str">
        <f t="shared" si="15"/>
        <v/>
      </c>
      <c r="L346" s="3" t="str">
        <f>CONCATENATE("13 13.1 4a")</f>
        <v>13 13.1 4a</v>
      </c>
      <c r="M346" s="3" t="str">
        <f>CONCATENATE("02663240428")</f>
        <v>02663240428</v>
      </c>
      <c r="N346" s="3" t="s">
        <v>456</v>
      </c>
      <c r="O346" s="3"/>
      <c r="P346" s="4">
        <v>42783</v>
      </c>
      <c r="Q346" s="3" t="s">
        <v>27</v>
      </c>
      <c r="R346" s="3" t="s">
        <v>28</v>
      </c>
      <c r="S346" s="3" t="s">
        <v>29</v>
      </c>
      <c r="T346" s="5">
        <v>1040.8</v>
      </c>
      <c r="U346" s="3">
        <v>448.79</v>
      </c>
      <c r="V346" s="3">
        <v>414.45</v>
      </c>
      <c r="W346" s="3">
        <v>177.56</v>
      </c>
    </row>
    <row r="347" spans="1:23" ht="36.75">
      <c r="A347" s="3" t="s">
        <v>23</v>
      </c>
      <c r="B347" s="3" t="s">
        <v>24</v>
      </c>
      <c r="C347" s="3" t="s">
        <v>35</v>
      </c>
      <c r="D347" s="3" t="s">
        <v>48</v>
      </c>
      <c r="E347" s="3" t="s">
        <v>59</v>
      </c>
      <c r="F347" s="3" t="s">
        <v>457</v>
      </c>
      <c r="G347" s="3">
        <v>2016</v>
      </c>
      <c r="H347" s="3" t="str">
        <f>CONCATENATE("64240519161")</f>
        <v>64240519161</v>
      </c>
      <c r="I347" s="3" t="s">
        <v>25</v>
      </c>
      <c r="J347" s="3" t="s">
        <v>26</v>
      </c>
      <c r="K347" s="3" t="str">
        <f t="shared" si="15"/>
        <v/>
      </c>
      <c r="L347" s="3" t="str">
        <f>CONCATENATE("11 11.1 4b")</f>
        <v>11 11.1 4b</v>
      </c>
      <c r="M347" s="3" t="str">
        <f>CONCATENATE("01640490437")</f>
        <v>01640490437</v>
      </c>
      <c r="N347" s="3" t="s">
        <v>458</v>
      </c>
      <c r="O347" s="3"/>
      <c r="P347" s="4">
        <v>42783</v>
      </c>
      <c r="Q347" s="3" t="s">
        <v>27</v>
      </c>
      <c r="R347" s="3" t="s">
        <v>28</v>
      </c>
      <c r="S347" s="3" t="s">
        <v>29</v>
      </c>
      <c r="T347" s="5">
        <v>4388.3</v>
      </c>
      <c r="U347" s="5">
        <v>1892.23</v>
      </c>
      <c r="V347" s="5">
        <v>1747.42</v>
      </c>
      <c r="W347" s="3">
        <v>748.65</v>
      </c>
    </row>
    <row r="348" spans="1:23" ht="36.75">
      <c r="A348" s="3" t="s">
        <v>23</v>
      </c>
      <c r="B348" s="3" t="s">
        <v>24</v>
      </c>
      <c r="C348" s="3" t="s">
        <v>35</v>
      </c>
      <c r="D348" s="3" t="s">
        <v>36</v>
      </c>
      <c r="E348" s="3" t="s">
        <v>32</v>
      </c>
      <c r="F348" s="3" t="s">
        <v>208</v>
      </c>
      <c r="G348" s="3">
        <v>2016</v>
      </c>
      <c r="H348" s="3" t="str">
        <f>CONCATENATE("64240236006")</f>
        <v>64240236006</v>
      </c>
      <c r="I348" s="3" t="s">
        <v>25</v>
      </c>
      <c r="J348" s="3" t="s">
        <v>26</v>
      </c>
      <c r="K348" s="3" t="str">
        <f t="shared" si="15"/>
        <v/>
      </c>
      <c r="L348" s="3" t="str">
        <f>CONCATENATE("11 11.2 4b")</f>
        <v>11 11.2 4b</v>
      </c>
      <c r="M348" s="3" t="str">
        <f>CONCATENATE("02132960440")</f>
        <v>02132960440</v>
      </c>
      <c r="N348" s="3" t="s">
        <v>459</v>
      </c>
      <c r="O348" s="3"/>
      <c r="P348" s="4">
        <v>42783</v>
      </c>
      <c r="Q348" s="3" t="s">
        <v>27</v>
      </c>
      <c r="R348" s="3" t="s">
        <v>28</v>
      </c>
      <c r="S348" s="3" t="s">
        <v>29</v>
      </c>
      <c r="T348" s="5">
        <v>4880.66</v>
      </c>
      <c r="U348" s="5">
        <v>2104.54</v>
      </c>
      <c r="V348" s="5">
        <v>1943.48</v>
      </c>
      <c r="W348" s="3">
        <v>832.64</v>
      </c>
    </row>
    <row r="349" spans="1:23" ht="36.75">
      <c r="A349" s="3" t="s">
        <v>23</v>
      </c>
      <c r="B349" s="3" t="s">
        <v>24</v>
      </c>
      <c r="C349" s="3" t="s">
        <v>35</v>
      </c>
      <c r="D349" s="3" t="s">
        <v>36</v>
      </c>
      <c r="E349" s="3" t="s">
        <v>59</v>
      </c>
      <c r="F349" s="3" t="s">
        <v>62</v>
      </c>
      <c r="G349" s="3">
        <v>2016</v>
      </c>
      <c r="H349" s="3" t="str">
        <f>CONCATENATE("64240905634")</f>
        <v>64240905634</v>
      </c>
      <c r="I349" s="3" t="s">
        <v>25</v>
      </c>
      <c r="J349" s="3" t="s">
        <v>26</v>
      </c>
      <c r="K349" s="3" t="str">
        <f t="shared" si="15"/>
        <v/>
      </c>
      <c r="L349" s="3" t="str">
        <f>CONCATENATE("11 11.2 4b")</f>
        <v>11 11.2 4b</v>
      </c>
      <c r="M349" s="3" t="str">
        <f>CONCATENATE("02041440443")</f>
        <v>02041440443</v>
      </c>
      <c r="N349" s="3" t="s">
        <v>460</v>
      </c>
      <c r="O349" s="3"/>
      <c r="P349" s="4">
        <v>42783</v>
      </c>
      <c r="Q349" s="3" t="s">
        <v>27</v>
      </c>
      <c r="R349" s="3" t="s">
        <v>28</v>
      </c>
      <c r="S349" s="3" t="s">
        <v>29</v>
      </c>
      <c r="T349" s="5">
        <v>1832.33</v>
      </c>
      <c r="U349" s="3">
        <v>790.1</v>
      </c>
      <c r="V349" s="3">
        <v>729.63</v>
      </c>
      <c r="W349" s="3">
        <v>312.60000000000002</v>
      </c>
    </row>
    <row r="350" spans="1:23" ht="36.75">
      <c r="A350" s="3" t="s">
        <v>23</v>
      </c>
      <c r="B350" s="3" t="s">
        <v>24</v>
      </c>
      <c r="C350" s="3" t="s">
        <v>35</v>
      </c>
      <c r="D350" s="3" t="s">
        <v>43</v>
      </c>
      <c r="E350" s="3" t="s">
        <v>34</v>
      </c>
      <c r="F350" s="3" t="s">
        <v>146</v>
      </c>
      <c r="G350" s="3">
        <v>2016</v>
      </c>
      <c r="H350" s="3" t="str">
        <f>CONCATENATE("64240337960")</f>
        <v>64240337960</v>
      </c>
      <c r="I350" s="3" t="s">
        <v>25</v>
      </c>
      <c r="J350" s="3" t="s">
        <v>26</v>
      </c>
      <c r="K350" s="3" t="str">
        <f t="shared" si="15"/>
        <v/>
      </c>
      <c r="L350" s="3" t="str">
        <f>CONCATENATE("10 10.1 4a")</f>
        <v>10 10.1 4a</v>
      </c>
      <c r="M350" s="3" t="str">
        <f>CONCATENATE("02585740414")</f>
        <v>02585740414</v>
      </c>
      <c r="N350" s="3" t="s">
        <v>461</v>
      </c>
      <c r="O350" s="3"/>
      <c r="P350" s="4">
        <v>42783</v>
      </c>
      <c r="Q350" s="3" t="s">
        <v>27</v>
      </c>
      <c r="R350" s="3" t="s">
        <v>28</v>
      </c>
      <c r="S350" s="3" t="s">
        <v>29</v>
      </c>
      <c r="T350" s="5">
        <v>15030.22</v>
      </c>
      <c r="U350" s="5">
        <v>6481.03</v>
      </c>
      <c r="V350" s="5">
        <v>5985.03</v>
      </c>
      <c r="W350" s="5">
        <v>2564.16</v>
      </c>
    </row>
    <row r="351" spans="1:23" ht="36.75">
      <c r="A351" s="3" t="s">
        <v>23</v>
      </c>
      <c r="B351" s="3" t="s">
        <v>24</v>
      </c>
      <c r="C351" s="3" t="s">
        <v>35</v>
      </c>
      <c r="D351" s="3" t="s">
        <v>36</v>
      </c>
      <c r="E351" s="3" t="s">
        <v>32</v>
      </c>
      <c r="F351" s="3" t="s">
        <v>208</v>
      </c>
      <c r="G351" s="3">
        <v>2016</v>
      </c>
      <c r="H351" s="3" t="str">
        <f>CONCATENATE("64240235586")</f>
        <v>64240235586</v>
      </c>
      <c r="I351" s="3" t="s">
        <v>25</v>
      </c>
      <c r="J351" s="3" t="s">
        <v>26</v>
      </c>
      <c r="K351" s="3" t="str">
        <f t="shared" si="15"/>
        <v/>
      </c>
      <c r="L351" s="3" t="str">
        <f>CONCATENATE("11 11.2 4b")</f>
        <v>11 11.2 4b</v>
      </c>
      <c r="M351" s="3" t="str">
        <f>CONCATENATE("02122300441")</f>
        <v>02122300441</v>
      </c>
      <c r="N351" s="3" t="s">
        <v>462</v>
      </c>
      <c r="O351" s="3"/>
      <c r="P351" s="4">
        <v>42783</v>
      </c>
      <c r="Q351" s="3" t="s">
        <v>27</v>
      </c>
      <c r="R351" s="3" t="s">
        <v>28</v>
      </c>
      <c r="S351" s="3" t="s">
        <v>29</v>
      </c>
      <c r="T351" s="5">
        <v>2610.89</v>
      </c>
      <c r="U351" s="5">
        <v>1125.82</v>
      </c>
      <c r="V351" s="5">
        <v>1039.6600000000001</v>
      </c>
      <c r="W351" s="3">
        <v>445.41</v>
      </c>
    </row>
    <row r="352" spans="1:23" ht="60.75">
      <c r="A352" s="3" t="s">
        <v>23</v>
      </c>
      <c r="B352" s="3" t="s">
        <v>24</v>
      </c>
      <c r="C352" s="3" t="s">
        <v>35</v>
      </c>
      <c r="D352" s="3" t="s">
        <v>48</v>
      </c>
      <c r="E352" s="3" t="s">
        <v>49</v>
      </c>
      <c r="F352" s="3" t="s">
        <v>50</v>
      </c>
      <c r="G352" s="3">
        <v>2016</v>
      </c>
      <c r="H352" s="3" t="str">
        <f>CONCATENATE("64240232476")</f>
        <v>64240232476</v>
      </c>
      <c r="I352" s="3" t="s">
        <v>25</v>
      </c>
      <c r="J352" s="3" t="s">
        <v>26</v>
      </c>
      <c r="K352" s="3" t="str">
        <f t="shared" si="15"/>
        <v/>
      </c>
      <c r="L352" s="3" t="str">
        <f>CONCATENATE("11 11.2 4b")</f>
        <v>11 11.2 4b</v>
      </c>
      <c r="M352" s="3" t="str">
        <f>CONCATENATE("BRTJCN69L47Z603Y")</f>
        <v>BRTJCN69L47Z603Y</v>
      </c>
      <c r="N352" s="3" t="s">
        <v>463</v>
      </c>
      <c r="O352" s="3"/>
      <c r="P352" s="4">
        <v>42783</v>
      </c>
      <c r="Q352" s="3" t="s">
        <v>27</v>
      </c>
      <c r="R352" s="3" t="s">
        <v>28</v>
      </c>
      <c r="S352" s="3" t="s">
        <v>29</v>
      </c>
      <c r="T352" s="5">
        <v>6843.38</v>
      </c>
      <c r="U352" s="5">
        <v>2950.87</v>
      </c>
      <c r="V352" s="5">
        <v>2725.03</v>
      </c>
      <c r="W352" s="5">
        <v>1167.48</v>
      </c>
    </row>
    <row r="353" spans="1:23" ht="60.75">
      <c r="A353" s="3" t="s">
        <v>23</v>
      </c>
      <c r="B353" s="3" t="s">
        <v>24</v>
      </c>
      <c r="C353" s="3" t="s">
        <v>35</v>
      </c>
      <c r="D353" s="3" t="s">
        <v>39</v>
      </c>
      <c r="E353" s="3" t="s">
        <v>30</v>
      </c>
      <c r="F353" s="3" t="s">
        <v>84</v>
      </c>
      <c r="G353" s="3">
        <v>2016</v>
      </c>
      <c r="H353" s="3" t="str">
        <f>CONCATENATE("64210993396")</f>
        <v>64210993396</v>
      </c>
      <c r="I353" s="3" t="s">
        <v>25</v>
      </c>
      <c r="J353" s="3" t="s">
        <v>26</v>
      </c>
      <c r="K353" s="3" t="str">
        <f t="shared" si="15"/>
        <v/>
      </c>
      <c r="L353" s="3" t="str">
        <f>CONCATENATE("13 13.1 4a")</f>
        <v>13 13.1 4a</v>
      </c>
      <c r="M353" s="3" t="str">
        <f>CONCATENATE("TSSVNT56D50D451X")</f>
        <v>TSSVNT56D50D451X</v>
      </c>
      <c r="N353" s="3" t="s">
        <v>464</v>
      </c>
      <c r="O353" s="3"/>
      <c r="P353" s="4">
        <v>42783</v>
      </c>
      <c r="Q353" s="3" t="s">
        <v>27</v>
      </c>
      <c r="R353" s="3" t="s">
        <v>28</v>
      </c>
      <c r="S353" s="3" t="s">
        <v>29</v>
      </c>
      <c r="T353" s="5">
        <v>1405.16</v>
      </c>
      <c r="U353" s="3">
        <v>605.9</v>
      </c>
      <c r="V353" s="3">
        <v>559.53</v>
      </c>
      <c r="W353" s="3">
        <v>239.73</v>
      </c>
    </row>
    <row r="354" spans="1:23" ht="36.75">
      <c r="A354" s="3" t="s">
        <v>23</v>
      </c>
      <c r="B354" s="3" t="s">
        <v>24</v>
      </c>
      <c r="C354" s="3" t="s">
        <v>35</v>
      </c>
      <c r="D354" s="3" t="s">
        <v>43</v>
      </c>
      <c r="E354" s="3" t="s">
        <v>30</v>
      </c>
      <c r="F354" s="3" t="s">
        <v>131</v>
      </c>
      <c r="G354" s="3">
        <v>2016</v>
      </c>
      <c r="H354" s="3" t="str">
        <f>CONCATENATE("64210935876")</f>
        <v>64210935876</v>
      </c>
      <c r="I354" s="3" t="s">
        <v>25</v>
      </c>
      <c r="J354" s="3" t="s">
        <v>26</v>
      </c>
      <c r="K354" s="3" t="str">
        <f t="shared" si="15"/>
        <v/>
      </c>
      <c r="L354" s="3" t="str">
        <f>CONCATENATE("13 13.1 4a")</f>
        <v>13 13.1 4a</v>
      </c>
      <c r="M354" s="3" t="str">
        <f>CONCATENATE("01406540417")</f>
        <v>01406540417</v>
      </c>
      <c r="N354" s="3" t="s">
        <v>465</v>
      </c>
      <c r="O354" s="3"/>
      <c r="P354" s="4">
        <v>42783</v>
      </c>
      <c r="Q354" s="3" t="s">
        <v>27</v>
      </c>
      <c r="R354" s="3" t="s">
        <v>28</v>
      </c>
      <c r="S354" s="3" t="s">
        <v>29</v>
      </c>
      <c r="T354" s="5">
        <v>4544.1000000000004</v>
      </c>
      <c r="U354" s="5">
        <v>1959.42</v>
      </c>
      <c r="V354" s="5">
        <v>1809.46</v>
      </c>
      <c r="W354" s="3">
        <v>775.22</v>
      </c>
    </row>
    <row r="355" spans="1:23" ht="72.75">
      <c r="A355" s="3" t="s">
        <v>23</v>
      </c>
      <c r="B355" s="3" t="s">
        <v>24</v>
      </c>
      <c r="C355" s="3" t="s">
        <v>35</v>
      </c>
      <c r="D355" s="3" t="s">
        <v>43</v>
      </c>
      <c r="E355" s="3" t="s">
        <v>34</v>
      </c>
      <c r="F355" s="3" t="s">
        <v>146</v>
      </c>
      <c r="G355" s="3">
        <v>2016</v>
      </c>
      <c r="H355" s="3" t="str">
        <f>CONCATENATE("64240090890")</f>
        <v>64240090890</v>
      </c>
      <c r="I355" s="3" t="s">
        <v>25</v>
      </c>
      <c r="J355" s="3" t="s">
        <v>26</v>
      </c>
      <c r="K355" s="3" t="str">
        <f t="shared" si="15"/>
        <v/>
      </c>
      <c r="L355" s="3" t="str">
        <f>CONCATENATE("11 11.2 4b")</f>
        <v>11 11.2 4b</v>
      </c>
      <c r="M355" s="3" t="str">
        <f>CONCATENATE("GCCBCM57M42D488W")</f>
        <v>GCCBCM57M42D488W</v>
      </c>
      <c r="N355" s="3" t="s">
        <v>466</v>
      </c>
      <c r="O355" s="3"/>
      <c r="P355" s="4">
        <v>42783</v>
      </c>
      <c r="Q355" s="3" t="s">
        <v>27</v>
      </c>
      <c r="R355" s="3" t="s">
        <v>28</v>
      </c>
      <c r="S355" s="3" t="s">
        <v>29</v>
      </c>
      <c r="T355" s="5">
        <v>1375.44</v>
      </c>
      <c r="U355" s="3">
        <v>593.09</v>
      </c>
      <c r="V355" s="3">
        <v>547.70000000000005</v>
      </c>
      <c r="W355" s="3">
        <v>234.65</v>
      </c>
    </row>
    <row r="356" spans="1:23" ht="36.75">
      <c r="A356" s="3" t="s">
        <v>23</v>
      </c>
      <c r="B356" s="3" t="s">
        <v>24</v>
      </c>
      <c r="C356" s="3" t="s">
        <v>35</v>
      </c>
      <c r="D356" s="3" t="s">
        <v>39</v>
      </c>
      <c r="E356" s="3" t="s">
        <v>32</v>
      </c>
      <c r="F356" s="3" t="s">
        <v>69</v>
      </c>
      <c r="G356" s="3">
        <v>2016</v>
      </c>
      <c r="H356" s="3" t="str">
        <f>CONCATENATE("64240604419")</f>
        <v>64240604419</v>
      </c>
      <c r="I356" s="3" t="s">
        <v>25</v>
      </c>
      <c r="J356" s="3" t="s">
        <v>26</v>
      </c>
      <c r="K356" s="3" t="str">
        <f t="shared" si="15"/>
        <v/>
      </c>
      <c r="L356" s="3" t="str">
        <f>CONCATENATE("11 11.2 4b")</f>
        <v>11 11.2 4b</v>
      </c>
      <c r="M356" s="3" t="str">
        <f>CONCATENATE("01411670423")</f>
        <v>01411670423</v>
      </c>
      <c r="N356" s="3" t="s">
        <v>467</v>
      </c>
      <c r="O356" s="3"/>
      <c r="P356" s="4">
        <v>42783</v>
      </c>
      <c r="Q356" s="3" t="s">
        <v>27</v>
      </c>
      <c r="R356" s="3" t="s">
        <v>28</v>
      </c>
      <c r="S356" s="3" t="s">
        <v>29</v>
      </c>
      <c r="T356" s="5">
        <v>39761.410000000003</v>
      </c>
      <c r="U356" s="5">
        <v>17145.12</v>
      </c>
      <c r="V356" s="5">
        <v>15832.99</v>
      </c>
      <c r="W356" s="5">
        <v>6783.3</v>
      </c>
    </row>
    <row r="357" spans="1:23" ht="72.75">
      <c r="A357" s="3" t="s">
        <v>23</v>
      </c>
      <c r="B357" s="3" t="s">
        <v>24</v>
      </c>
      <c r="C357" s="3" t="s">
        <v>35</v>
      </c>
      <c r="D357" s="3" t="s">
        <v>43</v>
      </c>
      <c r="E357" s="3" t="s">
        <v>30</v>
      </c>
      <c r="F357" s="3" t="s">
        <v>124</v>
      </c>
      <c r="G357" s="3">
        <v>2016</v>
      </c>
      <c r="H357" s="3" t="str">
        <f>CONCATENATE("64210926396")</f>
        <v>64210926396</v>
      </c>
      <c r="I357" s="3" t="s">
        <v>25</v>
      </c>
      <c r="J357" s="3" t="s">
        <v>26</v>
      </c>
      <c r="K357" s="3" t="str">
        <f t="shared" si="15"/>
        <v/>
      </c>
      <c r="L357" s="3" t="str">
        <f>CONCATENATE("13 13.1 4a")</f>
        <v>13 13.1 4a</v>
      </c>
      <c r="M357" s="3" t="str">
        <f>CONCATENATE("DNIGLN48M30B026Q")</f>
        <v>DNIGLN48M30B026Q</v>
      </c>
      <c r="N357" s="3" t="s">
        <v>468</v>
      </c>
      <c r="O357" s="3"/>
      <c r="P357" s="4">
        <v>42783</v>
      </c>
      <c r="Q357" s="3" t="s">
        <v>27</v>
      </c>
      <c r="R357" s="3" t="s">
        <v>28</v>
      </c>
      <c r="S357" s="3" t="s">
        <v>29</v>
      </c>
      <c r="T357" s="5">
        <v>1704.31</v>
      </c>
      <c r="U357" s="3">
        <v>734.9</v>
      </c>
      <c r="V357" s="3">
        <v>678.66</v>
      </c>
      <c r="W357" s="3">
        <v>290.75</v>
      </c>
    </row>
    <row r="358" spans="1:23" ht="60.75">
      <c r="A358" s="3" t="s">
        <v>23</v>
      </c>
      <c r="B358" s="3" t="s">
        <v>24</v>
      </c>
      <c r="C358" s="3" t="s">
        <v>35</v>
      </c>
      <c r="D358" s="3" t="s">
        <v>43</v>
      </c>
      <c r="E358" s="3" t="s">
        <v>30</v>
      </c>
      <c r="F358" s="3" t="s">
        <v>76</v>
      </c>
      <c r="G358" s="3">
        <v>2016</v>
      </c>
      <c r="H358" s="3" t="str">
        <f>CONCATENATE("64210107955")</f>
        <v>64210107955</v>
      </c>
      <c r="I358" s="3" t="s">
        <v>25</v>
      </c>
      <c r="J358" s="3" t="s">
        <v>26</v>
      </c>
      <c r="K358" s="3" t="str">
        <f t="shared" si="15"/>
        <v/>
      </c>
      <c r="L358" s="3" t="str">
        <f>CONCATENATE("13 13.1 4a")</f>
        <v>13 13.1 4a</v>
      </c>
      <c r="M358" s="3" t="str">
        <f>CONCATENATE("ZRBGDU52P25F478Q")</f>
        <v>ZRBGDU52P25F478Q</v>
      </c>
      <c r="N358" s="3" t="s">
        <v>469</v>
      </c>
      <c r="O358" s="3"/>
      <c r="P358" s="4">
        <v>42783</v>
      </c>
      <c r="Q358" s="3" t="s">
        <v>27</v>
      </c>
      <c r="R358" s="3" t="s">
        <v>28</v>
      </c>
      <c r="S358" s="3" t="s">
        <v>29</v>
      </c>
      <c r="T358" s="5">
        <v>1486.2</v>
      </c>
      <c r="U358" s="3">
        <v>640.85</v>
      </c>
      <c r="V358" s="3">
        <v>591.79999999999995</v>
      </c>
      <c r="W358" s="3">
        <v>253.55</v>
      </c>
    </row>
    <row r="359" spans="1:23" ht="72.75">
      <c r="A359" s="3" t="s">
        <v>23</v>
      </c>
      <c r="B359" s="3" t="s">
        <v>24</v>
      </c>
      <c r="C359" s="3" t="s">
        <v>35</v>
      </c>
      <c r="D359" s="3" t="s">
        <v>43</v>
      </c>
      <c r="E359" s="3" t="s">
        <v>49</v>
      </c>
      <c r="F359" s="3" t="s">
        <v>139</v>
      </c>
      <c r="G359" s="3">
        <v>2016</v>
      </c>
      <c r="H359" s="3" t="str">
        <f>CONCATENATE("64240350245")</f>
        <v>64240350245</v>
      </c>
      <c r="I359" s="3" t="s">
        <v>25</v>
      </c>
      <c r="J359" s="3" t="s">
        <v>26</v>
      </c>
      <c r="K359" s="3" t="str">
        <f t="shared" si="15"/>
        <v/>
      </c>
      <c r="L359" s="3" t="str">
        <f t="shared" ref="L359:L365" si="16">CONCATENATE("11 11.2 4b")</f>
        <v>11 11.2 4b</v>
      </c>
      <c r="M359" s="3" t="str">
        <f>CONCATENATE("SVNGMR73A65F205B")</f>
        <v>SVNGMR73A65F205B</v>
      </c>
      <c r="N359" s="3" t="s">
        <v>470</v>
      </c>
      <c r="O359" s="3"/>
      <c r="P359" s="4">
        <v>42783</v>
      </c>
      <c r="Q359" s="3" t="s">
        <v>27</v>
      </c>
      <c r="R359" s="3" t="s">
        <v>28</v>
      </c>
      <c r="S359" s="3" t="s">
        <v>29</v>
      </c>
      <c r="T359" s="5">
        <v>11798.61</v>
      </c>
      <c r="U359" s="5">
        <v>5087.5600000000004</v>
      </c>
      <c r="V359" s="5">
        <v>4698.21</v>
      </c>
      <c r="W359" s="5">
        <v>2012.84</v>
      </c>
    </row>
    <row r="360" spans="1:23" ht="60.75">
      <c r="A360" s="3" t="s">
        <v>23</v>
      </c>
      <c r="B360" s="3" t="s">
        <v>24</v>
      </c>
      <c r="C360" s="3" t="s">
        <v>35</v>
      </c>
      <c r="D360" s="3" t="s">
        <v>36</v>
      </c>
      <c r="E360" s="3" t="s">
        <v>32</v>
      </c>
      <c r="F360" s="3" t="s">
        <v>208</v>
      </c>
      <c r="G360" s="3">
        <v>2016</v>
      </c>
      <c r="H360" s="3" t="str">
        <f>CONCATENATE("64240280442")</f>
        <v>64240280442</v>
      </c>
      <c r="I360" s="3" t="s">
        <v>25</v>
      </c>
      <c r="J360" s="3" t="s">
        <v>26</v>
      </c>
      <c r="K360" s="3" t="str">
        <f t="shared" si="15"/>
        <v/>
      </c>
      <c r="L360" s="3" t="str">
        <f t="shared" si="16"/>
        <v>11 11.2 4b</v>
      </c>
      <c r="M360" s="3" t="str">
        <f>CONCATENATE("FNSFPP49D25C331J")</f>
        <v>FNSFPP49D25C331J</v>
      </c>
      <c r="N360" s="3" t="s">
        <v>471</v>
      </c>
      <c r="O360" s="3"/>
      <c r="P360" s="4">
        <v>42783</v>
      </c>
      <c r="Q360" s="3" t="s">
        <v>27</v>
      </c>
      <c r="R360" s="3" t="s">
        <v>28</v>
      </c>
      <c r="S360" s="3" t="s">
        <v>29</v>
      </c>
      <c r="T360" s="5">
        <v>1551.06</v>
      </c>
      <c r="U360" s="3">
        <v>668.82</v>
      </c>
      <c r="V360" s="3">
        <v>617.63</v>
      </c>
      <c r="W360" s="3">
        <v>264.61</v>
      </c>
    </row>
    <row r="361" spans="1:23" ht="60.75">
      <c r="A361" s="3" t="s">
        <v>23</v>
      </c>
      <c r="B361" s="3" t="s">
        <v>24</v>
      </c>
      <c r="C361" s="3" t="s">
        <v>35</v>
      </c>
      <c r="D361" s="3" t="s">
        <v>43</v>
      </c>
      <c r="E361" s="3" t="s">
        <v>30</v>
      </c>
      <c r="F361" s="3" t="s">
        <v>131</v>
      </c>
      <c r="G361" s="3">
        <v>2016</v>
      </c>
      <c r="H361" s="3" t="str">
        <f>CONCATENATE("64240728754")</f>
        <v>64240728754</v>
      </c>
      <c r="I361" s="3" t="s">
        <v>25</v>
      </c>
      <c r="J361" s="3" t="s">
        <v>26</v>
      </c>
      <c r="K361" s="3" t="str">
        <f t="shared" si="15"/>
        <v/>
      </c>
      <c r="L361" s="3" t="str">
        <f t="shared" si="16"/>
        <v>11 11.2 4b</v>
      </c>
      <c r="M361" s="3" t="str">
        <f>CONCATENATE("SRCLCU61P30F348Y")</f>
        <v>SRCLCU61P30F348Y</v>
      </c>
      <c r="N361" s="3" t="s">
        <v>472</v>
      </c>
      <c r="O361" s="3"/>
      <c r="P361" s="4">
        <v>42783</v>
      </c>
      <c r="Q361" s="3" t="s">
        <v>27</v>
      </c>
      <c r="R361" s="3" t="s">
        <v>28</v>
      </c>
      <c r="S361" s="3" t="s">
        <v>29</v>
      </c>
      <c r="T361" s="3">
        <v>956.57</v>
      </c>
      <c r="U361" s="3">
        <v>412.47</v>
      </c>
      <c r="V361" s="3">
        <v>380.91</v>
      </c>
      <c r="W361" s="3">
        <v>163.19</v>
      </c>
    </row>
    <row r="362" spans="1:23" ht="60.75">
      <c r="A362" s="3" t="s">
        <v>23</v>
      </c>
      <c r="B362" s="3" t="s">
        <v>24</v>
      </c>
      <c r="C362" s="3" t="s">
        <v>35</v>
      </c>
      <c r="D362" s="3" t="s">
        <v>43</v>
      </c>
      <c r="E362" s="3" t="s">
        <v>33</v>
      </c>
      <c r="F362" s="3" t="s">
        <v>46</v>
      </c>
      <c r="G362" s="3">
        <v>2016</v>
      </c>
      <c r="H362" s="3" t="str">
        <f>CONCATENATE("64240801247")</f>
        <v>64240801247</v>
      </c>
      <c r="I362" s="3" t="s">
        <v>25</v>
      </c>
      <c r="J362" s="3" t="s">
        <v>26</v>
      </c>
      <c r="K362" s="3" t="str">
        <f t="shared" si="15"/>
        <v/>
      </c>
      <c r="L362" s="3" t="str">
        <f t="shared" si="16"/>
        <v>11 11.2 4b</v>
      </c>
      <c r="M362" s="3" t="str">
        <f>CONCATENATE("TRNRNZ60S14L736O")</f>
        <v>TRNRNZ60S14L736O</v>
      </c>
      <c r="N362" s="3" t="s">
        <v>473</v>
      </c>
      <c r="O362" s="3"/>
      <c r="P362" s="4">
        <v>42783</v>
      </c>
      <c r="Q362" s="3" t="s">
        <v>27</v>
      </c>
      <c r="R362" s="3" t="s">
        <v>28</v>
      </c>
      <c r="S362" s="3" t="s">
        <v>29</v>
      </c>
      <c r="T362" s="5">
        <v>3173.96</v>
      </c>
      <c r="U362" s="5">
        <v>1368.61</v>
      </c>
      <c r="V362" s="5">
        <v>1263.8699999999999</v>
      </c>
      <c r="W362" s="3">
        <v>541.48</v>
      </c>
    </row>
    <row r="363" spans="1:23" ht="60.75">
      <c r="A363" s="3" t="s">
        <v>23</v>
      </c>
      <c r="B363" s="3" t="s">
        <v>24</v>
      </c>
      <c r="C363" s="3" t="s">
        <v>35</v>
      </c>
      <c r="D363" s="3" t="s">
        <v>43</v>
      </c>
      <c r="E363" s="3" t="s">
        <v>30</v>
      </c>
      <c r="F363" s="3" t="s">
        <v>76</v>
      </c>
      <c r="G363" s="3">
        <v>2016</v>
      </c>
      <c r="H363" s="3" t="str">
        <f>CONCATENATE("64240041257")</f>
        <v>64240041257</v>
      </c>
      <c r="I363" s="3" t="s">
        <v>25</v>
      </c>
      <c r="J363" s="3" t="s">
        <v>26</v>
      </c>
      <c r="K363" s="3" t="str">
        <f t="shared" si="15"/>
        <v/>
      </c>
      <c r="L363" s="3" t="str">
        <f t="shared" si="16"/>
        <v>11 11.2 4b</v>
      </c>
      <c r="M363" s="3" t="str">
        <f>CONCATENATE("RSSPLA63P25F524S")</f>
        <v>RSSPLA63P25F524S</v>
      </c>
      <c r="N363" s="3" t="s">
        <v>474</v>
      </c>
      <c r="O363" s="3"/>
      <c r="P363" s="4">
        <v>42783</v>
      </c>
      <c r="Q363" s="3" t="s">
        <v>27</v>
      </c>
      <c r="R363" s="3" t="s">
        <v>28</v>
      </c>
      <c r="S363" s="3" t="s">
        <v>29</v>
      </c>
      <c r="T363" s="5">
        <v>2061.4899999999998</v>
      </c>
      <c r="U363" s="3">
        <v>888.91</v>
      </c>
      <c r="V363" s="3">
        <v>820.89</v>
      </c>
      <c r="W363" s="3">
        <v>351.69</v>
      </c>
    </row>
    <row r="364" spans="1:23" ht="60.75">
      <c r="A364" s="3" t="s">
        <v>23</v>
      </c>
      <c r="B364" s="3" t="s">
        <v>24</v>
      </c>
      <c r="C364" s="3" t="s">
        <v>35</v>
      </c>
      <c r="D364" s="3" t="s">
        <v>39</v>
      </c>
      <c r="E364" s="3" t="s">
        <v>34</v>
      </c>
      <c r="F364" s="3" t="s">
        <v>170</v>
      </c>
      <c r="G364" s="3">
        <v>2016</v>
      </c>
      <c r="H364" s="3" t="str">
        <f>CONCATENATE("64240607594")</f>
        <v>64240607594</v>
      </c>
      <c r="I364" s="3" t="s">
        <v>25</v>
      </c>
      <c r="J364" s="3" t="s">
        <v>26</v>
      </c>
      <c r="K364" s="3" t="str">
        <f t="shared" si="15"/>
        <v/>
      </c>
      <c r="L364" s="3" t="str">
        <f t="shared" si="16"/>
        <v>11 11.2 4b</v>
      </c>
      <c r="M364" s="3" t="str">
        <f>CONCATENATE("BRBLRI71S69H501R")</f>
        <v>BRBLRI71S69H501R</v>
      </c>
      <c r="N364" s="3" t="s">
        <v>475</v>
      </c>
      <c r="O364" s="3"/>
      <c r="P364" s="4">
        <v>42783</v>
      </c>
      <c r="Q364" s="3" t="s">
        <v>27</v>
      </c>
      <c r="R364" s="3" t="s">
        <v>28</v>
      </c>
      <c r="S364" s="3" t="s">
        <v>29</v>
      </c>
      <c r="T364" s="5">
        <v>2184.34</v>
      </c>
      <c r="U364" s="3">
        <v>941.89</v>
      </c>
      <c r="V364" s="3">
        <v>869.8</v>
      </c>
      <c r="W364" s="3">
        <v>372.65</v>
      </c>
    </row>
    <row r="365" spans="1:23" ht="60.75">
      <c r="A365" s="3" t="s">
        <v>23</v>
      </c>
      <c r="B365" s="3" t="s">
        <v>24</v>
      </c>
      <c r="C365" s="3" t="s">
        <v>35</v>
      </c>
      <c r="D365" s="3" t="s">
        <v>43</v>
      </c>
      <c r="E365" s="3" t="s">
        <v>32</v>
      </c>
      <c r="F365" s="3" t="s">
        <v>78</v>
      </c>
      <c r="G365" s="3">
        <v>2016</v>
      </c>
      <c r="H365" s="3" t="str">
        <f>CONCATENATE("64240308805")</f>
        <v>64240308805</v>
      </c>
      <c r="I365" s="3" t="s">
        <v>25</v>
      </c>
      <c r="J365" s="3" t="s">
        <v>26</v>
      </c>
      <c r="K365" s="3" t="str">
        <f t="shared" si="15"/>
        <v/>
      </c>
      <c r="L365" s="3" t="str">
        <f t="shared" si="16"/>
        <v>11 11.2 4b</v>
      </c>
      <c r="M365" s="3" t="str">
        <f>CONCATENATE("FDDSML79P08L500N")</f>
        <v>FDDSML79P08L500N</v>
      </c>
      <c r="N365" s="3" t="s">
        <v>476</v>
      </c>
      <c r="O365" s="3"/>
      <c r="P365" s="4">
        <v>42783</v>
      </c>
      <c r="Q365" s="3" t="s">
        <v>27</v>
      </c>
      <c r="R365" s="3" t="s">
        <v>28</v>
      </c>
      <c r="S365" s="3" t="s">
        <v>29</v>
      </c>
      <c r="T365" s="5">
        <v>1509.04</v>
      </c>
      <c r="U365" s="3">
        <v>650.70000000000005</v>
      </c>
      <c r="V365" s="3">
        <v>600.9</v>
      </c>
      <c r="W365" s="3">
        <v>257.44</v>
      </c>
    </row>
    <row r="366" spans="1:23" ht="36.75">
      <c r="A366" s="3" t="s">
        <v>23</v>
      </c>
      <c r="B366" s="3" t="s">
        <v>24</v>
      </c>
      <c r="C366" s="3" t="s">
        <v>35</v>
      </c>
      <c r="D366" s="3" t="s">
        <v>36</v>
      </c>
      <c r="E366" s="3" t="s">
        <v>42</v>
      </c>
      <c r="F366" s="3" t="s">
        <v>42</v>
      </c>
      <c r="G366" s="3">
        <v>2016</v>
      </c>
      <c r="H366" s="3" t="str">
        <f>CONCATENATE("64240912093")</f>
        <v>64240912093</v>
      </c>
      <c r="I366" s="3" t="s">
        <v>25</v>
      </c>
      <c r="J366" s="3" t="s">
        <v>26</v>
      </c>
      <c r="K366" s="3" t="str">
        <f t="shared" ref="K366:K429" si="17">CONCATENATE("")</f>
        <v/>
      </c>
      <c r="L366" s="3" t="str">
        <f>CONCATENATE("10 10.1 4b")</f>
        <v>10 10.1 4b</v>
      </c>
      <c r="M366" s="3" t="str">
        <f>CONCATENATE("01961800446")</f>
        <v>01961800446</v>
      </c>
      <c r="N366" s="3" t="s">
        <v>477</v>
      </c>
      <c r="O366" s="3"/>
      <c r="P366" s="4">
        <v>42783</v>
      </c>
      <c r="Q366" s="3" t="s">
        <v>27</v>
      </c>
      <c r="R366" s="3" t="s">
        <v>28</v>
      </c>
      <c r="S366" s="3" t="s">
        <v>29</v>
      </c>
      <c r="T366" s="5">
        <v>13857.17</v>
      </c>
      <c r="U366" s="5">
        <v>5975.21</v>
      </c>
      <c r="V366" s="5">
        <v>5517.93</v>
      </c>
      <c r="W366" s="5">
        <v>2364.0300000000002</v>
      </c>
    </row>
    <row r="367" spans="1:23" ht="60.75">
      <c r="A367" s="3" t="s">
        <v>23</v>
      </c>
      <c r="B367" s="3" t="s">
        <v>24</v>
      </c>
      <c r="C367" s="3" t="s">
        <v>35</v>
      </c>
      <c r="D367" s="3" t="s">
        <v>43</v>
      </c>
      <c r="E367" s="3" t="s">
        <v>49</v>
      </c>
      <c r="F367" s="3" t="s">
        <v>139</v>
      </c>
      <c r="G367" s="3">
        <v>2016</v>
      </c>
      <c r="H367" s="3" t="str">
        <f>CONCATENATE("64240339354")</f>
        <v>64240339354</v>
      </c>
      <c r="I367" s="3" t="s">
        <v>25</v>
      </c>
      <c r="J367" s="3" t="s">
        <v>26</v>
      </c>
      <c r="K367" s="3" t="str">
        <f t="shared" si="17"/>
        <v/>
      </c>
      <c r="L367" s="3" t="str">
        <f>CONCATENATE("11 11.2 4b")</f>
        <v>11 11.2 4b</v>
      </c>
      <c r="M367" s="3" t="str">
        <f>CONCATENATE("CRSCST38A53A562P")</f>
        <v>CRSCST38A53A562P</v>
      </c>
      <c r="N367" s="3" t="s">
        <v>478</v>
      </c>
      <c r="O367" s="3"/>
      <c r="P367" s="4">
        <v>42783</v>
      </c>
      <c r="Q367" s="3" t="s">
        <v>27</v>
      </c>
      <c r="R367" s="3" t="s">
        <v>28</v>
      </c>
      <c r="S367" s="3" t="s">
        <v>29</v>
      </c>
      <c r="T367" s="5">
        <v>1098.1400000000001</v>
      </c>
      <c r="U367" s="3">
        <v>473.52</v>
      </c>
      <c r="V367" s="3">
        <v>437.28</v>
      </c>
      <c r="W367" s="3">
        <v>187.34</v>
      </c>
    </row>
    <row r="368" spans="1:23" ht="36.75">
      <c r="A368" s="3" t="s">
        <v>23</v>
      </c>
      <c r="B368" s="3" t="s">
        <v>24</v>
      </c>
      <c r="C368" s="3" t="s">
        <v>35</v>
      </c>
      <c r="D368" s="3" t="s">
        <v>48</v>
      </c>
      <c r="E368" s="3" t="s">
        <v>32</v>
      </c>
      <c r="F368" s="3" t="s">
        <v>129</v>
      </c>
      <c r="G368" s="3">
        <v>2016</v>
      </c>
      <c r="H368" s="3" t="str">
        <f>CONCATENATE("64210790511")</f>
        <v>64210790511</v>
      </c>
      <c r="I368" s="3" t="s">
        <v>25</v>
      </c>
      <c r="J368" s="3" t="s">
        <v>26</v>
      </c>
      <c r="K368" s="3" t="str">
        <f t="shared" si="17"/>
        <v/>
      </c>
      <c r="L368" s="3" t="str">
        <f>CONCATENATE("13 13.1 4a")</f>
        <v>13 13.1 4a</v>
      </c>
      <c r="M368" s="3" t="str">
        <f>CONCATENATE("01836860435")</f>
        <v>01836860435</v>
      </c>
      <c r="N368" s="3" t="s">
        <v>479</v>
      </c>
      <c r="O368" s="3"/>
      <c r="P368" s="4">
        <v>42783</v>
      </c>
      <c r="Q368" s="3" t="s">
        <v>27</v>
      </c>
      <c r="R368" s="3" t="s">
        <v>28</v>
      </c>
      <c r="S368" s="3" t="s">
        <v>29</v>
      </c>
      <c r="T368" s="3">
        <v>333.06</v>
      </c>
      <c r="U368" s="3">
        <v>143.62</v>
      </c>
      <c r="V368" s="3">
        <v>132.62</v>
      </c>
      <c r="W368" s="3">
        <v>56.82</v>
      </c>
    </row>
    <row r="369" spans="1:23" ht="60.75">
      <c r="A369" s="3" t="s">
        <v>23</v>
      </c>
      <c r="B369" s="3" t="s">
        <v>24</v>
      </c>
      <c r="C369" s="3" t="s">
        <v>35</v>
      </c>
      <c r="D369" s="3" t="s">
        <v>48</v>
      </c>
      <c r="E369" s="3" t="s">
        <v>30</v>
      </c>
      <c r="F369" s="3" t="s">
        <v>55</v>
      </c>
      <c r="G369" s="3">
        <v>2016</v>
      </c>
      <c r="H369" s="3" t="str">
        <f>CONCATENATE("64240590683")</f>
        <v>64240590683</v>
      </c>
      <c r="I369" s="3" t="s">
        <v>25</v>
      </c>
      <c r="J369" s="3" t="s">
        <v>26</v>
      </c>
      <c r="K369" s="3" t="str">
        <f t="shared" si="17"/>
        <v/>
      </c>
      <c r="L369" s="3" t="str">
        <f>CONCATENATE("11 11.2 4b")</f>
        <v>11 11.2 4b</v>
      </c>
      <c r="M369" s="3" t="str">
        <f>CONCATENATE("RZOTCS57A29L501Y")</f>
        <v>RZOTCS57A29L501Y</v>
      </c>
      <c r="N369" s="3" t="s">
        <v>480</v>
      </c>
      <c r="O369" s="3"/>
      <c r="P369" s="4">
        <v>42783</v>
      </c>
      <c r="Q369" s="3" t="s">
        <v>27</v>
      </c>
      <c r="R369" s="3" t="s">
        <v>28</v>
      </c>
      <c r="S369" s="3" t="s">
        <v>29</v>
      </c>
      <c r="T369" s="5">
        <v>13410.7</v>
      </c>
      <c r="U369" s="5">
        <v>5782.69</v>
      </c>
      <c r="V369" s="5">
        <v>5340.14</v>
      </c>
      <c r="W369" s="5">
        <v>2287.87</v>
      </c>
    </row>
    <row r="370" spans="1:23" ht="60.75">
      <c r="A370" s="3" t="s">
        <v>23</v>
      </c>
      <c r="B370" s="3" t="s">
        <v>24</v>
      </c>
      <c r="C370" s="3" t="s">
        <v>35</v>
      </c>
      <c r="D370" s="3" t="s">
        <v>48</v>
      </c>
      <c r="E370" s="3" t="s">
        <v>30</v>
      </c>
      <c r="F370" s="3" t="s">
        <v>289</v>
      </c>
      <c r="G370" s="3">
        <v>2016</v>
      </c>
      <c r="H370" s="3" t="str">
        <f>CONCATENATE("64240288700")</f>
        <v>64240288700</v>
      </c>
      <c r="I370" s="3" t="s">
        <v>31</v>
      </c>
      <c r="J370" s="3" t="s">
        <v>26</v>
      </c>
      <c r="K370" s="3" t="str">
        <f t="shared" si="17"/>
        <v/>
      </c>
      <c r="L370" s="3" t="str">
        <f>CONCATENATE("11 11.2 4b")</f>
        <v>11 11.2 4b</v>
      </c>
      <c r="M370" s="3" t="str">
        <f>CONCATENATE("NGLPLA58R12I156I")</f>
        <v>NGLPLA58R12I156I</v>
      </c>
      <c r="N370" s="3" t="s">
        <v>481</v>
      </c>
      <c r="O370" s="3"/>
      <c r="P370" s="4">
        <v>42783</v>
      </c>
      <c r="Q370" s="3" t="s">
        <v>27</v>
      </c>
      <c r="R370" s="3" t="s">
        <v>28</v>
      </c>
      <c r="S370" s="3" t="s">
        <v>29</v>
      </c>
      <c r="T370" s="5">
        <v>5972.67</v>
      </c>
      <c r="U370" s="5">
        <v>2575.42</v>
      </c>
      <c r="V370" s="5">
        <v>2378.3200000000002</v>
      </c>
      <c r="W370" s="5">
        <v>1018.93</v>
      </c>
    </row>
    <row r="371" spans="1:23" ht="60.75">
      <c r="A371" s="3" t="s">
        <v>23</v>
      </c>
      <c r="B371" s="3" t="s">
        <v>24</v>
      </c>
      <c r="C371" s="3" t="s">
        <v>35</v>
      </c>
      <c r="D371" s="3" t="s">
        <v>36</v>
      </c>
      <c r="E371" s="3" t="s">
        <v>42</v>
      </c>
      <c r="F371" s="3" t="s">
        <v>42</v>
      </c>
      <c r="G371" s="3">
        <v>2016</v>
      </c>
      <c r="H371" s="3" t="str">
        <f>CONCATENATE("64240120762")</f>
        <v>64240120762</v>
      </c>
      <c r="I371" s="3" t="s">
        <v>25</v>
      </c>
      <c r="J371" s="3" t="s">
        <v>26</v>
      </c>
      <c r="K371" s="3" t="str">
        <f t="shared" si="17"/>
        <v/>
      </c>
      <c r="L371" s="3" t="str">
        <f>CONCATENATE("11 11.2 4b")</f>
        <v>11 11.2 4b</v>
      </c>
      <c r="M371" s="3" t="str">
        <f>CONCATENATE("CTNGPP65S17H769N")</f>
        <v>CTNGPP65S17H769N</v>
      </c>
      <c r="N371" s="3" t="s">
        <v>482</v>
      </c>
      <c r="O371" s="3"/>
      <c r="P371" s="4">
        <v>42783</v>
      </c>
      <c r="Q371" s="3" t="s">
        <v>27</v>
      </c>
      <c r="R371" s="3" t="s">
        <v>28</v>
      </c>
      <c r="S371" s="3" t="s">
        <v>29</v>
      </c>
      <c r="T371" s="5">
        <v>1818.59</v>
      </c>
      <c r="U371" s="3">
        <v>784.18</v>
      </c>
      <c r="V371" s="3">
        <v>724.16</v>
      </c>
      <c r="W371" s="3">
        <v>310.25</v>
      </c>
    </row>
    <row r="372" spans="1:23" ht="60.75">
      <c r="A372" s="3" t="s">
        <v>23</v>
      </c>
      <c r="B372" s="3" t="s">
        <v>24</v>
      </c>
      <c r="C372" s="3" t="s">
        <v>35</v>
      </c>
      <c r="D372" s="3" t="s">
        <v>48</v>
      </c>
      <c r="E372" s="3" t="s">
        <v>49</v>
      </c>
      <c r="F372" s="3" t="s">
        <v>50</v>
      </c>
      <c r="G372" s="3">
        <v>2016</v>
      </c>
      <c r="H372" s="3" t="str">
        <f>CONCATENATE("64240461497")</f>
        <v>64240461497</v>
      </c>
      <c r="I372" s="3" t="s">
        <v>25</v>
      </c>
      <c r="J372" s="3" t="s">
        <v>26</v>
      </c>
      <c r="K372" s="3" t="str">
        <f t="shared" si="17"/>
        <v/>
      </c>
      <c r="L372" s="3" t="str">
        <f>CONCATENATE("11 11.2 4b")</f>
        <v>11 11.2 4b</v>
      </c>
      <c r="M372" s="3" t="str">
        <f>CONCATENATE("FVRHRT68T18Z126T")</f>
        <v>FVRHRT68T18Z126T</v>
      </c>
      <c r="N372" s="3" t="s">
        <v>483</v>
      </c>
      <c r="O372" s="3"/>
      <c r="P372" s="4">
        <v>42783</v>
      </c>
      <c r="Q372" s="3" t="s">
        <v>27</v>
      </c>
      <c r="R372" s="3" t="s">
        <v>28</v>
      </c>
      <c r="S372" s="3" t="s">
        <v>29</v>
      </c>
      <c r="T372" s="3">
        <v>184.44</v>
      </c>
      <c r="U372" s="3">
        <v>79.53</v>
      </c>
      <c r="V372" s="3">
        <v>73.44</v>
      </c>
      <c r="W372" s="3">
        <v>31.47</v>
      </c>
    </row>
    <row r="373" spans="1:23" ht="60.75">
      <c r="A373" s="3" t="s">
        <v>23</v>
      </c>
      <c r="B373" s="3" t="s">
        <v>24</v>
      </c>
      <c r="C373" s="3" t="s">
        <v>35</v>
      </c>
      <c r="D373" s="3" t="s">
        <v>39</v>
      </c>
      <c r="E373" s="3" t="s">
        <v>59</v>
      </c>
      <c r="F373" s="3" t="s">
        <v>457</v>
      </c>
      <c r="G373" s="3">
        <v>2016</v>
      </c>
      <c r="H373" s="3" t="str">
        <f>CONCATENATE("64210271645")</f>
        <v>64210271645</v>
      </c>
      <c r="I373" s="3" t="s">
        <v>25</v>
      </c>
      <c r="J373" s="3" t="s">
        <v>26</v>
      </c>
      <c r="K373" s="3" t="str">
        <f t="shared" si="17"/>
        <v/>
      </c>
      <c r="L373" s="3" t="str">
        <f>CONCATENATE("13 13.1 4a")</f>
        <v>13 13.1 4a</v>
      </c>
      <c r="M373" s="3" t="str">
        <f>CONCATENATE("NGLNDR81S30D451Q")</f>
        <v>NGLNDR81S30D451Q</v>
      </c>
      <c r="N373" s="3" t="s">
        <v>484</v>
      </c>
      <c r="O373" s="3"/>
      <c r="P373" s="4">
        <v>42783</v>
      </c>
      <c r="Q373" s="3" t="s">
        <v>27</v>
      </c>
      <c r="R373" s="3" t="s">
        <v>28</v>
      </c>
      <c r="S373" s="3" t="s">
        <v>29</v>
      </c>
      <c r="T373" s="5">
        <v>3304.53</v>
      </c>
      <c r="U373" s="5">
        <v>1424.91</v>
      </c>
      <c r="V373" s="5">
        <v>1315.86</v>
      </c>
      <c r="W373" s="3">
        <v>563.76</v>
      </c>
    </row>
    <row r="374" spans="1:23" ht="60.75">
      <c r="A374" s="3" t="s">
        <v>23</v>
      </c>
      <c r="B374" s="3" t="s">
        <v>24</v>
      </c>
      <c r="C374" s="3" t="s">
        <v>35</v>
      </c>
      <c r="D374" s="3" t="s">
        <v>39</v>
      </c>
      <c r="E374" s="3" t="s">
        <v>32</v>
      </c>
      <c r="F374" s="3" t="s">
        <v>215</v>
      </c>
      <c r="G374" s="3">
        <v>2016</v>
      </c>
      <c r="H374" s="3" t="str">
        <f>CONCATENATE("64240317129")</f>
        <v>64240317129</v>
      </c>
      <c r="I374" s="3" t="s">
        <v>25</v>
      </c>
      <c r="J374" s="3" t="s">
        <v>26</v>
      </c>
      <c r="K374" s="3" t="str">
        <f t="shared" si="17"/>
        <v/>
      </c>
      <c r="L374" s="3" t="str">
        <f>CONCATENATE("10 10.1 4a")</f>
        <v>10 10.1 4a</v>
      </c>
      <c r="M374" s="3" t="str">
        <f>CONCATENATE("BRVPLA73A71E388I")</f>
        <v>BRVPLA73A71E388I</v>
      </c>
      <c r="N374" s="3" t="s">
        <v>485</v>
      </c>
      <c r="O374" s="3"/>
      <c r="P374" s="4">
        <v>42783</v>
      </c>
      <c r="Q374" s="3" t="s">
        <v>27</v>
      </c>
      <c r="R374" s="3" t="s">
        <v>28</v>
      </c>
      <c r="S374" s="3" t="s">
        <v>29</v>
      </c>
      <c r="T374" s="3">
        <v>76.819999999999993</v>
      </c>
      <c r="U374" s="3">
        <v>33.119999999999997</v>
      </c>
      <c r="V374" s="3">
        <v>30.59</v>
      </c>
      <c r="W374" s="3">
        <v>13.11</v>
      </c>
    </row>
    <row r="375" spans="1:23" ht="60.75">
      <c r="A375" s="3" t="s">
        <v>23</v>
      </c>
      <c r="B375" s="3" t="s">
        <v>24</v>
      </c>
      <c r="C375" s="3" t="s">
        <v>35</v>
      </c>
      <c r="D375" s="3" t="s">
        <v>48</v>
      </c>
      <c r="E375" s="3" t="s">
        <v>59</v>
      </c>
      <c r="F375" s="3" t="s">
        <v>240</v>
      </c>
      <c r="G375" s="3">
        <v>2016</v>
      </c>
      <c r="H375" s="3" t="str">
        <f>CONCATENATE("64240403192")</f>
        <v>64240403192</v>
      </c>
      <c r="I375" s="3" t="s">
        <v>25</v>
      </c>
      <c r="J375" s="3" t="s">
        <v>26</v>
      </c>
      <c r="K375" s="3" t="str">
        <f t="shared" si="17"/>
        <v/>
      </c>
      <c r="L375" s="3" t="str">
        <f>CONCATENATE("11 11.2 4b")</f>
        <v>11 11.2 4b</v>
      </c>
      <c r="M375" s="3" t="str">
        <f>CONCATENATE("PRNCST53C08D042W")</f>
        <v>PRNCST53C08D042W</v>
      </c>
      <c r="N375" s="3" t="s">
        <v>486</v>
      </c>
      <c r="O375" s="3"/>
      <c r="P375" s="4">
        <v>42783</v>
      </c>
      <c r="Q375" s="3" t="s">
        <v>27</v>
      </c>
      <c r="R375" s="3" t="s">
        <v>28</v>
      </c>
      <c r="S375" s="3" t="s">
        <v>29</v>
      </c>
      <c r="T375" s="5">
        <v>2386.66</v>
      </c>
      <c r="U375" s="5">
        <v>1029.1300000000001</v>
      </c>
      <c r="V375" s="3">
        <v>950.37</v>
      </c>
      <c r="W375" s="3">
        <v>407.16</v>
      </c>
    </row>
    <row r="376" spans="1:23" ht="60.75">
      <c r="A376" s="3" t="s">
        <v>23</v>
      </c>
      <c r="B376" s="3" t="s">
        <v>24</v>
      </c>
      <c r="C376" s="3" t="s">
        <v>35</v>
      </c>
      <c r="D376" s="3" t="s">
        <v>36</v>
      </c>
      <c r="E376" s="3" t="s">
        <v>59</v>
      </c>
      <c r="F376" s="3" t="s">
        <v>62</v>
      </c>
      <c r="G376" s="3">
        <v>2016</v>
      </c>
      <c r="H376" s="3" t="str">
        <f>CONCATENATE("64240642500")</f>
        <v>64240642500</v>
      </c>
      <c r="I376" s="3" t="s">
        <v>25</v>
      </c>
      <c r="J376" s="3" t="s">
        <v>26</v>
      </c>
      <c r="K376" s="3" t="str">
        <f t="shared" si="17"/>
        <v/>
      </c>
      <c r="L376" s="3" t="str">
        <f>CONCATENATE("11 11.2 4b")</f>
        <v>11 11.2 4b</v>
      </c>
      <c r="M376" s="3" t="str">
        <f>CONCATENATE("CNNMLN72A42F415U")</f>
        <v>CNNMLN72A42F415U</v>
      </c>
      <c r="N376" s="3" t="s">
        <v>487</v>
      </c>
      <c r="O376" s="3"/>
      <c r="P376" s="4">
        <v>42783</v>
      </c>
      <c r="Q376" s="3" t="s">
        <v>27</v>
      </c>
      <c r="R376" s="3" t="s">
        <v>28</v>
      </c>
      <c r="S376" s="3" t="s">
        <v>29</v>
      </c>
      <c r="T376" s="5">
        <v>1497.12</v>
      </c>
      <c r="U376" s="3">
        <v>645.55999999999995</v>
      </c>
      <c r="V376" s="3">
        <v>596.15</v>
      </c>
      <c r="W376" s="3">
        <v>255.41</v>
      </c>
    </row>
    <row r="377" spans="1:23" ht="36.75">
      <c r="A377" s="3" t="s">
        <v>23</v>
      </c>
      <c r="B377" s="3" t="s">
        <v>24</v>
      </c>
      <c r="C377" s="3" t="s">
        <v>35</v>
      </c>
      <c r="D377" s="3" t="s">
        <v>43</v>
      </c>
      <c r="E377" s="3" t="s">
        <v>30</v>
      </c>
      <c r="F377" s="3" t="s">
        <v>76</v>
      </c>
      <c r="G377" s="3">
        <v>2016</v>
      </c>
      <c r="H377" s="3" t="str">
        <f>CONCATENATE("64210130890")</f>
        <v>64210130890</v>
      </c>
      <c r="I377" s="3" t="s">
        <v>25</v>
      </c>
      <c r="J377" s="3" t="s">
        <v>26</v>
      </c>
      <c r="K377" s="3" t="str">
        <f t="shared" si="17"/>
        <v/>
      </c>
      <c r="L377" s="3" t="str">
        <f>CONCATENATE("13 13.1 4a")</f>
        <v>13 13.1 4a</v>
      </c>
      <c r="M377" s="3" t="str">
        <f>CONCATENATE("02144520414")</f>
        <v>02144520414</v>
      </c>
      <c r="N377" s="3" t="s">
        <v>488</v>
      </c>
      <c r="O377" s="3"/>
      <c r="P377" s="4">
        <v>42783</v>
      </c>
      <c r="Q377" s="3" t="s">
        <v>27</v>
      </c>
      <c r="R377" s="3" t="s">
        <v>28</v>
      </c>
      <c r="S377" s="3" t="s">
        <v>29</v>
      </c>
      <c r="T377" s="5">
        <v>1535.02</v>
      </c>
      <c r="U377" s="3">
        <v>661.9</v>
      </c>
      <c r="V377" s="3">
        <v>611.24</v>
      </c>
      <c r="W377" s="3">
        <v>261.88</v>
      </c>
    </row>
    <row r="378" spans="1:23" ht="60.75">
      <c r="A378" s="3" t="s">
        <v>23</v>
      </c>
      <c r="B378" s="3" t="s">
        <v>24</v>
      </c>
      <c r="C378" s="3" t="s">
        <v>35</v>
      </c>
      <c r="D378" s="3" t="s">
        <v>48</v>
      </c>
      <c r="E378" s="3" t="s">
        <v>30</v>
      </c>
      <c r="F378" s="3" t="s">
        <v>57</v>
      </c>
      <c r="G378" s="3">
        <v>2016</v>
      </c>
      <c r="H378" s="3" t="str">
        <f>CONCATENATE("64240463717")</f>
        <v>64240463717</v>
      </c>
      <c r="I378" s="3" t="s">
        <v>25</v>
      </c>
      <c r="J378" s="3" t="s">
        <v>26</v>
      </c>
      <c r="K378" s="3" t="str">
        <f t="shared" si="17"/>
        <v/>
      </c>
      <c r="L378" s="3" t="str">
        <f>CONCATENATE("11 11.1 4b")</f>
        <v>11 11.1 4b</v>
      </c>
      <c r="M378" s="3" t="str">
        <f>CONCATENATE("SCGDNS86T68I156G")</f>
        <v>SCGDNS86T68I156G</v>
      </c>
      <c r="N378" s="3" t="s">
        <v>489</v>
      </c>
      <c r="O378" s="3"/>
      <c r="P378" s="4">
        <v>42783</v>
      </c>
      <c r="Q378" s="3" t="s">
        <v>27</v>
      </c>
      <c r="R378" s="3" t="s">
        <v>28</v>
      </c>
      <c r="S378" s="3" t="s">
        <v>29</v>
      </c>
      <c r="T378" s="5">
        <v>1321.97</v>
      </c>
      <c r="U378" s="3">
        <v>570.03</v>
      </c>
      <c r="V378" s="3">
        <v>526.41</v>
      </c>
      <c r="W378" s="3">
        <v>225.53</v>
      </c>
    </row>
    <row r="379" spans="1:23" ht="60.75">
      <c r="A379" s="3" t="s">
        <v>23</v>
      </c>
      <c r="B379" s="3" t="s">
        <v>24</v>
      </c>
      <c r="C379" s="3" t="s">
        <v>35</v>
      </c>
      <c r="D379" s="3" t="s">
        <v>48</v>
      </c>
      <c r="E379" s="3" t="s">
        <v>30</v>
      </c>
      <c r="F379" s="3" t="s">
        <v>91</v>
      </c>
      <c r="G379" s="3">
        <v>2016</v>
      </c>
      <c r="H379" s="3" t="str">
        <f>CONCATENATE("64240343026")</f>
        <v>64240343026</v>
      </c>
      <c r="I379" s="3" t="s">
        <v>25</v>
      </c>
      <c r="J379" s="3" t="s">
        <v>26</v>
      </c>
      <c r="K379" s="3" t="str">
        <f t="shared" si="17"/>
        <v/>
      </c>
      <c r="L379" s="3" t="str">
        <f>CONCATENATE("11 11.2 4b")</f>
        <v>11 11.2 4b</v>
      </c>
      <c r="M379" s="3" t="str">
        <f>CONCATENATE("DBLFNC42R27H501T")</f>
        <v>DBLFNC42R27H501T</v>
      </c>
      <c r="N379" s="3" t="s">
        <v>490</v>
      </c>
      <c r="O379" s="3"/>
      <c r="P379" s="4">
        <v>42783</v>
      </c>
      <c r="Q379" s="3" t="s">
        <v>27</v>
      </c>
      <c r="R379" s="3" t="s">
        <v>28</v>
      </c>
      <c r="S379" s="3" t="s">
        <v>29</v>
      </c>
      <c r="T379" s="5">
        <v>1256.72</v>
      </c>
      <c r="U379" s="3">
        <v>541.9</v>
      </c>
      <c r="V379" s="3">
        <v>500.43</v>
      </c>
      <c r="W379" s="3">
        <v>214.39</v>
      </c>
    </row>
    <row r="380" spans="1:23" ht="60.75">
      <c r="A380" s="3" t="s">
        <v>23</v>
      </c>
      <c r="B380" s="3" t="s">
        <v>24</v>
      </c>
      <c r="C380" s="3" t="s">
        <v>35</v>
      </c>
      <c r="D380" s="3" t="s">
        <v>36</v>
      </c>
      <c r="E380" s="3" t="s">
        <v>30</v>
      </c>
      <c r="F380" s="3" t="s">
        <v>86</v>
      </c>
      <c r="G380" s="3">
        <v>2016</v>
      </c>
      <c r="H380" s="3" t="str">
        <f>CONCATENATE("64240803268")</f>
        <v>64240803268</v>
      </c>
      <c r="I380" s="3" t="s">
        <v>25</v>
      </c>
      <c r="J380" s="3" t="s">
        <v>26</v>
      </c>
      <c r="K380" s="3" t="str">
        <f t="shared" si="17"/>
        <v/>
      </c>
      <c r="L380" s="3" t="str">
        <f>CONCATENATE("11 11.2 4b")</f>
        <v>11 11.2 4b</v>
      </c>
      <c r="M380" s="3" t="str">
        <f>CONCATENATE("MDNVRM72P69F205Y")</f>
        <v>MDNVRM72P69F205Y</v>
      </c>
      <c r="N380" s="3" t="s">
        <v>491</v>
      </c>
      <c r="O380" s="3"/>
      <c r="P380" s="4">
        <v>42783</v>
      </c>
      <c r="Q380" s="3" t="s">
        <v>27</v>
      </c>
      <c r="R380" s="3" t="s">
        <v>28</v>
      </c>
      <c r="S380" s="3" t="s">
        <v>29</v>
      </c>
      <c r="T380" s="3">
        <v>323.48</v>
      </c>
      <c r="U380" s="3">
        <v>139.47999999999999</v>
      </c>
      <c r="V380" s="3">
        <v>128.81</v>
      </c>
      <c r="W380" s="3">
        <v>55.19</v>
      </c>
    </row>
    <row r="381" spans="1:23" ht="60.75">
      <c r="A381" s="3" t="s">
        <v>23</v>
      </c>
      <c r="B381" s="3" t="s">
        <v>24</v>
      </c>
      <c r="C381" s="3" t="s">
        <v>35</v>
      </c>
      <c r="D381" s="3" t="s">
        <v>39</v>
      </c>
      <c r="E381" s="3" t="s">
        <v>30</v>
      </c>
      <c r="F381" s="3" t="s">
        <v>72</v>
      </c>
      <c r="G381" s="3">
        <v>2016</v>
      </c>
      <c r="H381" s="3" t="str">
        <f>CONCATENATE("64240666970")</f>
        <v>64240666970</v>
      </c>
      <c r="I381" s="3" t="s">
        <v>25</v>
      </c>
      <c r="J381" s="3" t="s">
        <v>26</v>
      </c>
      <c r="K381" s="3" t="str">
        <f t="shared" si="17"/>
        <v/>
      </c>
      <c r="L381" s="3" t="str">
        <f>CONCATENATE("11 11.2 4b")</f>
        <v>11 11.2 4b</v>
      </c>
      <c r="M381" s="3" t="str">
        <f>CONCATENATE("MRCSLV74D47G479T")</f>
        <v>MRCSLV74D47G479T</v>
      </c>
      <c r="N381" s="3" t="s">
        <v>492</v>
      </c>
      <c r="O381" s="3"/>
      <c r="P381" s="4">
        <v>42783</v>
      </c>
      <c r="Q381" s="3" t="s">
        <v>27</v>
      </c>
      <c r="R381" s="3" t="s">
        <v>28</v>
      </c>
      <c r="S381" s="3" t="s">
        <v>29</v>
      </c>
      <c r="T381" s="3">
        <v>325.35000000000002</v>
      </c>
      <c r="U381" s="3">
        <v>140.29</v>
      </c>
      <c r="V381" s="3">
        <v>129.55000000000001</v>
      </c>
      <c r="W381" s="3">
        <v>55.51</v>
      </c>
    </row>
    <row r="382" spans="1:23" ht="36.75">
      <c r="A382" s="3" t="s">
        <v>23</v>
      </c>
      <c r="B382" s="3" t="s">
        <v>24</v>
      </c>
      <c r="C382" s="3" t="s">
        <v>35</v>
      </c>
      <c r="D382" s="3" t="s">
        <v>43</v>
      </c>
      <c r="E382" s="3" t="s">
        <v>30</v>
      </c>
      <c r="F382" s="3" t="s">
        <v>113</v>
      </c>
      <c r="G382" s="3">
        <v>2016</v>
      </c>
      <c r="H382" s="3" t="str">
        <f>CONCATENATE("64240640405")</f>
        <v>64240640405</v>
      </c>
      <c r="I382" s="3" t="s">
        <v>25</v>
      </c>
      <c r="J382" s="3" t="s">
        <v>26</v>
      </c>
      <c r="K382" s="3" t="str">
        <f t="shared" si="17"/>
        <v/>
      </c>
      <c r="L382" s="3" t="str">
        <f>CONCATENATE("11 11.1 4b")</f>
        <v>11 11.1 4b</v>
      </c>
      <c r="M382" s="3" t="str">
        <f>CONCATENATE("02440980411")</f>
        <v>02440980411</v>
      </c>
      <c r="N382" s="3" t="s">
        <v>493</v>
      </c>
      <c r="O382" s="3"/>
      <c r="P382" s="4">
        <v>42783</v>
      </c>
      <c r="Q382" s="3" t="s">
        <v>27</v>
      </c>
      <c r="R382" s="3" t="s">
        <v>28</v>
      </c>
      <c r="S382" s="3" t="s">
        <v>29</v>
      </c>
      <c r="T382" s="5">
        <v>1937.82</v>
      </c>
      <c r="U382" s="3">
        <v>835.59</v>
      </c>
      <c r="V382" s="3">
        <v>771.64</v>
      </c>
      <c r="W382" s="3">
        <v>330.59</v>
      </c>
    </row>
    <row r="383" spans="1:23" ht="60.75">
      <c r="A383" s="3" t="s">
        <v>23</v>
      </c>
      <c r="B383" s="3" t="s">
        <v>24</v>
      </c>
      <c r="C383" s="3" t="s">
        <v>35</v>
      </c>
      <c r="D383" s="3" t="s">
        <v>43</v>
      </c>
      <c r="E383" s="3" t="s">
        <v>32</v>
      </c>
      <c r="F383" s="3" t="s">
        <v>184</v>
      </c>
      <c r="G383" s="3">
        <v>2016</v>
      </c>
      <c r="H383" s="3" t="str">
        <f>CONCATENATE("64240346631")</f>
        <v>64240346631</v>
      </c>
      <c r="I383" s="3" t="s">
        <v>25</v>
      </c>
      <c r="J383" s="3" t="s">
        <v>26</v>
      </c>
      <c r="K383" s="3" t="str">
        <f t="shared" si="17"/>
        <v/>
      </c>
      <c r="L383" s="3" t="str">
        <f>CONCATENATE("11 11.2 4b")</f>
        <v>11 11.2 4b</v>
      </c>
      <c r="M383" s="3" t="str">
        <f>CONCATENATE("MNNNNF75L15F979B")</f>
        <v>MNNNNF75L15F979B</v>
      </c>
      <c r="N383" s="3" t="s">
        <v>494</v>
      </c>
      <c r="O383" s="3"/>
      <c r="P383" s="4">
        <v>42783</v>
      </c>
      <c r="Q383" s="3" t="s">
        <v>27</v>
      </c>
      <c r="R383" s="3" t="s">
        <v>28</v>
      </c>
      <c r="S383" s="3" t="s">
        <v>29</v>
      </c>
      <c r="T383" s="5">
        <v>2574.66</v>
      </c>
      <c r="U383" s="5">
        <v>1110.19</v>
      </c>
      <c r="V383" s="5">
        <v>1025.23</v>
      </c>
      <c r="W383" s="3">
        <v>439.24</v>
      </c>
    </row>
    <row r="384" spans="1:23" ht="60.75">
      <c r="A384" s="3" t="s">
        <v>23</v>
      </c>
      <c r="B384" s="3" t="s">
        <v>24</v>
      </c>
      <c r="C384" s="3" t="s">
        <v>35</v>
      </c>
      <c r="D384" s="3" t="s">
        <v>39</v>
      </c>
      <c r="E384" s="3" t="s">
        <v>32</v>
      </c>
      <c r="F384" s="3" t="s">
        <v>117</v>
      </c>
      <c r="G384" s="3">
        <v>2016</v>
      </c>
      <c r="H384" s="3" t="str">
        <f>CONCATENATE("64240485579")</f>
        <v>64240485579</v>
      </c>
      <c r="I384" s="3" t="s">
        <v>25</v>
      </c>
      <c r="J384" s="3" t="s">
        <v>26</v>
      </c>
      <c r="K384" s="3" t="str">
        <f t="shared" si="17"/>
        <v/>
      </c>
      <c r="L384" s="3" t="str">
        <f>CONCATENATE("11 11.2 4b")</f>
        <v>11 11.2 4b</v>
      </c>
      <c r="M384" s="3" t="str">
        <f>CONCATENATE("CRLDNL57E06D760B")</f>
        <v>CRLDNL57E06D760B</v>
      </c>
      <c r="N384" s="3" t="s">
        <v>495</v>
      </c>
      <c r="O384" s="3"/>
      <c r="P384" s="4">
        <v>42783</v>
      </c>
      <c r="Q384" s="3" t="s">
        <v>27</v>
      </c>
      <c r="R384" s="3" t="s">
        <v>28</v>
      </c>
      <c r="S384" s="3" t="s">
        <v>29</v>
      </c>
      <c r="T384" s="3">
        <v>528.23</v>
      </c>
      <c r="U384" s="3">
        <v>227.77</v>
      </c>
      <c r="V384" s="3">
        <v>210.34</v>
      </c>
      <c r="W384" s="3">
        <v>90.12</v>
      </c>
    </row>
    <row r="385" spans="1:23" ht="60.75">
      <c r="A385" s="3" t="s">
        <v>23</v>
      </c>
      <c r="B385" s="3" t="s">
        <v>24</v>
      </c>
      <c r="C385" s="3" t="s">
        <v>35</v>
      </c>
      <c r="D385" s="3" t="s">
        <v>43</v>
      </c>
      <c r="E385" s="3" t="s">
        <v>32</v>
      </c>
      <c r="F385" s="3" t="s">
        <v>335</v>
      </c>
      <c r="G385" s="3">
        <v>2016</v>
      </c>
      <c r="H385" s="3" t="str">
        <f>CONCATENATE("64210508616")</f>
        <v>64210508616</v>
      </c>
      <c r="I385" s="3" t="s">
        <v>31</v>
      </c>
      <c r="J385" s="3" t="s">
        <v>26</v>
      </c>
      <c r="K385" s="3" t="str">
        <f t="shared" si="17"/>
        <v/>
      </c>
      <c r="L385" s="3" t="str">
        <f>CONCATENATE("13 13.1 4a")</f>
        <v>13 13.1 4a</v>
      </c>
      <c r="M385" s="3" t="str">
        <f>CONCATENATE("PNTGZN72L22L500X")</f>
        <v>PNTGZN72L22L500X</v>
      </c>
      <c r="N385" s="3" t="s">
        <v>496</v>
      </c>
      <c r="O385" s="3"/>
      <c r="P385" s="4">
        <v>42783</v>
      </c>
      <c r="Q385" s="3" t="s">
        <v>27</v>
      </c>
      <c r="R385" s="3" t="s">
        <v>28</v>
      </c>
      <c r="S385" s="3" t="s">
        <v>29</v>
      </c>
      <c r="T385" s="5">
        <v>4119.08</v>
      </c>
      <c r="U385" s="5">
        <v>1776.15</v>
      </c>
      <c r="V385" s="5">
        <v>1640.22</v>
      </c>
      <c r="W385" s="3">
        <v>702.71</v>
      </c>
    </row>
    <row r="386" spans="1:23" ht="60.75">
      <c r="A386" s="3" t="s">
        <v>23</v>
      </c>
      <c r="B386" s="3" t="s">
        <v>24</v>
      </c>
      <c r="C386" s="3" t="s">
        <v>35</v>
      </c>
      <c r="D386" s="3" t="s">
        <v>39</v>
      </c>
      <c r="E386" s="3" t="s">
        <v>32</v>
      </c>
      <c r="F386" s="3" t="s">
        <v>69</v>
      </c>
      <c r="G386" s="3">
        <v>2016</v>
      </c>
      <c r="H386" s="3" t="str">
        <f>CONCATENATE("64240498010")</f>
        <v>64240498010</v>
      </c>
      <c r="I386" s="3" t="s">
        <v>25</v>
      </c>
      <c r="J386" s="3" t="s">
        <v>26</v>
      </c>
      <c r="K386" s="3" t="str">
        <f t="shared" si="17"/>
        <v/>
      </c>
      <c r="L386" s="3" t="str">
        <f>CONCATENATE("11 11.1 4b")</f>
        <v>11 11.1 4b</v>
      </c>
      <c r="M386" s="3" t="str">
        <f>CONCATENATE("BLGCLD86M17Z129O")</f>
        <v>BLGCLD86M17Z129O</v>
      </c>
      <c r="N386" s="3" t="s">
        <v>497</v>
      </c>
      <c r="O386" s="3"/>
      <c r="P386" s="4">
        <v>42783</v>
      </c>
      <c r="Q386" s="3" t="s">
        <v>27</v>
      </c>
      <c r="R386" s="3" t="s">
        <v>28</v>
      </c>
      <c r="S386" s="3" t="s">
        <v>29</v>
      </c>
      <c r="T386" s="5">
        <v>1149.22</v>
      </c>
      <c r="U386" s="3">
        <v>495.54</v>
      </c>
      <c r="V386" s="3">
        <v>457.62</v>
      </c>
      <c r="W386" s="3">
        <v>196.06</v>
      </c>
    </row>
    <row r="387" spans="1:23" ht="60.75">
      <c r="A387" s="3" t="s">
        <v>23</v>
      </c>
      <c r="B387" s="3" t="s">
        <v>24</v>
      </c>
      <c r="C387" s="3" t="s">
        <v>35</v>
      </c>
      <c r="D387" s="3" t="s">
        <v>39</v>
      </c>
      <c r="E387" s="3" t="s">
        <v>33</v>
      </c>
      <c r="F387" s="3" t="s">
        <v>498</v>
      </c>
      <c r="G387" s="3">
        <v>2016</v>
      </c>
      <c r="H387" s="3" t="str">
        <f>CONCATENATE("64210877557")</f>
        <v>64210877557</v>
      </c>
      <c r="I387" s="3" t="s">
        <v>25</v>
      </c>
      <c r="J387" s="3" t="s">
        <v>26</v>
      </c>
      <c r="K387" s="3" t="str">
        <f t="shared" si="17"/>
        <v/>
      </c>
      <c r="L387" s="3" t="str">
        <f>CONCATENATE("13 13.1 4a")</f>
        <v>13 13.1 4a</v>
      </c>
      <c r="M387" s="3" t="str">
        <f>CONCATENATE("PLCGPP62C07D451V")</f>
        <v>PLCGPP62C07D451V</v>
      </c>
      <c r="N387" s="3" t="s">
        <v>499</v>
      </c>
      <c r="O387" s="3"/>
      <c r="P387" s="4">
        <v>42783</v>
      </c>
      <c r="Q387" s="3" t="s">
        <v>27</v>
      </c>
      <c r="R387" s="3" t="s">
        <v>28</v>
      </c>
      <c r="S387" s="3" t="s">
        <v>29</v>
      </c>
      <c r="T387" s="3">
        <v>449.04</v>
      </c>
      <c r="U387" s="3">
        <v>193.63</v>
      </c>
      <c r="V387" s="3">
        <v>178.81</v>
      </c>
      <c r="W387" s="3">
        <v>76.599999999999994</v>
      </c>
    </row>
    <row r="388" spans="1:23" ht="60.75">
      <c r="A388" s="3" t="s">
        <v>23</v>
      </c>
      <c r="B388" s="3" t="s">
        <v>24</v>
      </c>
      <c r="C388" s="3" t="s">
        <v>35</v>
      </c>
      <c r="D388" s="3" t="s">
        <v>48</v>
      </c>
      <c r="E388" s="3" t="s">
        <v>30</v>
      </c>
      <c r="F388" s="3" t="s">
        <v>236</v>
      </c>
      <c r="G388" s="3">
        <v>2016</v>
      </c>
      <c r="H388" s="3" t="str">
        <f>CONCATENATE("64240766184")</f>
        <v>64240766184</v>
      </c>
      <c r="I388" s="3" t="s">
        <v>31</v>
      </c>
      <c r="J388" s="3" t="s">
        <v>26</v>
      </c>
      <c r="K388" s="3" t="str">
        <f t="shared" si="17"/>
        <v/>
      </c>
      <c r="L388" s="3" t="str">
        <f>CONCATENATE("11 11.1 4b")</f>
        <v>11 11.1 4b</v>
      </c>
      <c r="M388" s="3" t="str">
        <f>CONCATENATE("SVRCRL42C06C704R")</f>
        <v>SVRCRL42C06C704R</v>
      </c>
      <c r="N388" s="3" t="s">
        <v>500</v>
      </c>
      <c r="O388" s="3"/>
      <c r="P388" s="4">
        <v>42783</v>
      </c>
      <c r="Q388" s="3" t="s">
        <v>27</v>
      </c>
      <c r="R388" s="3" t="s">
        <v>28</v>
      </c>
      <c r="S388" s="3" t="s">
        <v>29</v>
      </c>
      <c r="T388" s="5">
        <v>7161.26</v>
      </c>
      <c r="U388" s="5">
        <v>3087.94</v>
      </c>
      <c r="V388" s="5">
        <v>2851.61</v>
      </c>
      <c r="W388" s="5">
        <v>1221.71</v>
      </c>
    </row>
    <row r="389" spans="1:23" ht="60.75">
      <c r="A389" s="3" t="s">
        <v>23</v>
      </c>
      <c r="B389" s="3" t="s">
        <v>24</v>
      </c>
      <c r="C389" s="3" t="s">
        <v>35</v>
      </c>
      <c r="D389" s="3" t="s">
        <v>43</v>
      </c>
      <c r="E389" s="3" t="s">
        <v>30</v>
      </c>
      <c r="F389" s="3" t="s">
        <v>124</v>
      </c>
      <c r="G389" s="3">
        <v>2016</v>
      </c>
      <c r="H389" s="3" t="str">
        <f>CONCATENATE("64210386641")</f>
        <v>64210386641</v>
      </c>
      <c r="I389" s="3" t="s">
        <v>25</v>
      </c>
      <c r="J389" s="3" t="s">
        <v>26</v>
      </c>
      <c r="K389" s="3" t="str">
        <f t="shared" si="17"/>
        <v/>
      </c>
      <c r="L389" s="3" t="str">
        <f>CONCATENATE("13 13.1 4a")</f>
        <v>13 13.1 4a</v>
      </c>
      <c r="M389" s="3" t="str">
        <f>CONCATENATE("LNAFNC53T28F135N")</f>
        <v>LNAFNC53T28F135N</v>
      </c>
      <c r="N389" s="3" t="s">
        <v>501</v>
      </c>
      <c r="O389" s="3"/>
      <c r="P389" s="4">
        <v>42783</v>
      </c>
      <c r="Q389" s="3" t="s">
        <v>27</v>
      </c>
      <c r="R389" s="3" t="s">
        <v>28</v>
      </c>
      <c r="S389" s="3" t="s">
        <v>29</v>
      </c>
      <c r="T389" s="3">
        <v>825.61</v>
      </c>
      <c r="U389" s="3">
        <v>356</v>
      </c>
      <c r="V389" s="3">
        <v>328.76</v>
      </c>
      <c r="W389" s="3">
        <v>140.85</v>
      </c>
    </row>
    <row r="390" spans="1:23" ht="36.75">
      <c r="A390" s="3" t="s">
        <v>23</v>
      </c>
      <c r="B390" s="3" t="s">
        <v>24</v>
      </c>
      <c r="C390" s="3" t="s">
        <v>35</v>
      </c>
      <c r="D390" s="3" t="s">
        <v>36</v>
      </c>
      <c r="E390" s="3" t="s">
        <v>42</v>
      </c>
      <c r="F390" s="3" t="s">
        <v>42</v>
      </c>
      <c r="G390" s="3">
        <v>2016</v>
      </c>
      <c r="H390" s="3" t="str">
        <f>CONCATENATE("64240555694")</f>
        <v>64240555694</v>
      </c>
      <c r="I390" s="3" t="s">
        <v>25</v>
      </c>
      <c r="J390" s="3" t="s">
        <v>26</v>
      </c>
      <c r="K390" s="3" t="str">
        <f t="shared" si="17"/>
        <v/>
      </c>
      <c r="L390" s="3" t="str">
        <f>CONCATENATE("11 11.2 4b")</f>
        <v>11 11.2 4b</v>
      </c>
      <c r="M390" s="3" t="str">
        <f>CONCATENATE("01734920430")</f>
        <v>01734920430</v>
      </c>
      <c r="N390" s="3" t="s">
        <v>502</v>
      </c>
      <c r="O390" s="3"/>
      <c r="P390" s="4">
        <v>42783</v>
      </c>
      <c r="Q390" s="3" t="s">
        <v>27</v>
      </c>
      <c r="R390" s="3" t="s">
        <v>28</v>
      </c>
      <c r="S390" s="3" t="s">
        <v>29</v>
      </c>
      <c r="T390" s="3">
        <v>953.85</v>
      </c>
      <c r="U390" s="3">
        <v>411.3</v>
      </c>
      <c r="V390" s="3">
        <v>379.82</v>
      </c>
      <c r="W390" s="3">
        <v>162.72999999999999</v>
      </c>
    </row>
    <row r="391" spans="1:23" ht="72.75">
      <c r="A391" s="3" t="s">
        <v>23</v>
      </c>
      <c r="B391" s="3" t="s">
        <v>24</v>
      </c>
      <c r="C391" s="3" t="s">
        <v>35</v>
      </c>
      <c r="D391" s="3" t="s">
        <v>39</v>
      </c>
      <c r="E391" s="3" t="s">
        <v>32</v>
      </c>
      <c r="F391" s="3" t="s">
        <v>215</v>
      </c>
      <c r="G391" s="3">
        <v>2016</v>
      </c>
      <c r="H391" s="3" t="str">
        <f>CONCATENATE("64240278925")</f>
        <v>64240278925</v>
      </c>
      <c r="I391" s="3" t="s">
        <v>25</v>
      </c>
      <c r="J391" s="3" t="s">
        <v>26</v>
      </c>
      <c r="K391" s="3" t="str">
        <f t="shared" si="17"/>
        <v/>
      </c>
      <c r="L391" s="3" t="str">
        <f>CONCATENATE("11 11.2 4b")</f>
        <v>11 11.2 4b</v>
      </c>
      <c r="M391" s="3" t="str">
        <f>CONCATENATE("MRNPRZ61R41H223W")</f>
        <v>MRNPRZ61R41H223W</v>
      </c>
      <c r="N391" s="3" t="s">
        <v>503</v>
      </c>
      <c r="O391" s="3"/>
      <c r="P391" s="4">
        <v>42783</v>
      </c>
      <c r="Q391" s="3" t="s">
        <v>27</v>
      </c>
      <c r="R391" s="3" t="s">
        <v>28</v>
      </c>
      <c r="S391" s="3" t="s">
        <v>29</v>
      </c>
      <c r="T391" s="3">
        <v>324.81</v>
      </c>
      <c r="U391" s="3">
        <v>140.06</v>
      </c>
      <c r="V391" s="3">
        <v>129.34</v>
      </c>
      <c r="W391" s="3">
        <v>55.41</v>
      </c>
    </row>
    <row r="392" spans="1:23" ht="60.75">
      <c r="A392" s="3" t="s">
        <v>23</v>
      </c>
      <c r="B392" s="3" t="s">
        <v>24</v>
      </c>
      <c r="C392" s="3" t="s">
        <v>35</v>
      </c>
      <c r="D392" s="3" t="s">
        <v>43</v>
      </c>
      <c r="E392" s="3" t="s">
        <v>30</v>
      </c>
      <c r="F392" s="3" t="s">
        <v>109</v>
      </c>
      <c r="G392" s="3">
        <v>2016</v>
      </c>
      <c r="H392" s="3" t="str">
        <f>CONCATENATE("64240766606")</f>
        <v>64240766606</v>
      </c>
      <c r="I392" s="3" t="s">
        <v>25</v>
      </c>
      <c r="J392" s="3" t="s">
        <v>26</v>
      </c>
      <c r="K392" s="3" t="str">
        <f t="shared" si="17"/>
        <v/>
      </c>
      <c r="L392" s="3" t="str">
        <f>CONCATENATE("11 11.1 4b")</f>
        <v>11 11.1 4b</v>
      </c>
      <c r="M392" s="3" t="str">
        <f>CONCATENATE("VNTNTN61L05F347N")</f>
        <v>VNTNTN61L05F347N</v>
      </c>
      <c r="N392" s="3" t="s">
        <v>504</v>
      </c>
      <c r="O392" s="3"/>
      <c r="P392" s="4">
        <v>42783</v>
      </c>
      <c r="Q392" s="3" t="s">
        <v>27</v>
      </c>
      <c r="R392" s="3" t="s">
        <v>28</v>
      </c>
      <c r="S392" s="3" t="s">
        <v>29</v>
      </c>
      <c r="T392" s="5">
        <v>2380.69</v>
      </c>
      <c r="U392" s="5">
        <v>1026.55</v>
      </c>
      <c r="V392" s="3">
        <v>947.99</v>
      </c>
      <c r="W392" s="3">
        <v>406.15</v>
      </c>
    </row>
    <row r="393" spans="1:23" ht="60.75">
      <c r="A393" s="3" t="s">
        <v>23</v>
      </c>
      <c r="B393" s="3" t="s">
        <v>24</v>
      </c>
      <c r="C393" s="3" t="s">
        <v>35</v>
      </c>
      <c r="D393" s="3" t="s">
        <v>48</v>
      </c>
      <c r="E393" s="3" t="s">
        <v>49</v>
      </c>
      <c r="F393" s="3" t="s">
        <v>74</v>
      </c>
      <c r="G393" s="3">
        <v>2016</v>
      </c>
      <c r="H393" s="3" t="str">
        <f>CONCATENATE("64210579401")</f>
        <v>64210579401</v>
      </c>
      <c r="I393" s="3" t="s">
        <v>25</v>
      </c>
      <c r="J393" s="3" t="s">
        <v>26</v>
      </c>
      <c r="K393" s="3" t="str">
        <f t="shared" si="17"/>
        <v/>
      </c>
      <c r="L393" s="3" t="str">
        <f>CONCATENATE("13 13.1 4a")</f>
        <v>13 13.1 4a</v>
      </c>
      <c r="M393" s="3" t="str">
        <f>CONCATENATE("RCCSFN79A06I156Z")</f>
        <v>RCCSFN79A06I156Z</v>
      </c>
      <c r="N393" s="3" t="s">
        <v>505</v>
      </c>
      <c r="O393" s="3"/>
      <c r="P393" s="4">
        <v>42783</v>
      </c>
      <c r="Q393" s="3" t="s">
        <v>27</v>
      </c>
      <c r="R393" s="3" t="s">
        <v>28</v>
      </c>
      <c r="S393" s="3" t="s">
        <v>29</v>
      </c>
      <c r="T393" s="5">
        <v>4062.49</v>
      </c>
      <c r="U393" s="5">
        <v>1751.75</v>
      </c>
      <c r="V393" s="5">
        <v>1617.68</v>
      </c>
      <c r="W393" s="3">
        <v>693.06</v>
      </c>
    </row>
    <row r="394" spans="1:23" ht="72.75">
      <c r="A394" s="3" t="s">
        <v>23</v>
      </c>
      <c r="B394" s="3" t="s">
        <v>24</v>
      </c>
      <c r="C394" s="3" t="s">
        <v>35</v>
      </c>
      <c r="D394" s="3" t="s">
        <v>36</v>
      </c>
      <c r="E394" s="3" t="s">
        <v>32</v>
      </c>
      <c r="F394" s="3" t="s">
        <v>208</v>
      </c>
      <c r="G394" s="3">
        <v>2016</v>
      </c>
      <c r="H394" s="3" t="str">
        <f>CONCATENATE("64240283479")</f>
        <v>64240283479</v>
      </c>
      <c r="I394" s="3" t="s">
        <v>25</v>
      </c>
      <c r="J394" s="3" t="s">
        <v>26</v>
      </c>
      <c r="K394" s="3" t="str">
        <f t="shared" si="17"/>
        <v/>
      </c>
      <c r="L394" s="3" t="str">
        <f>CONCATENATE("11 11.2 4b")</f>
        <v>11 11.2 4b</v>
      </c>
      <c r="M394" s="3" t="str">
        <f>CONCATENATE("TRNPQL64M43H769A")</f>
        <v>TRNPQL64M43H769A</v>
      </c>
      <c r="N394" s="3" t="s">
        <v>506</v>
      </c>
      <c r="O394" s="3"/>
      <c r="P394" s="4">
        <v>42783</v>
      </c>
      <c r="Q394" s="3" t="s">
        <v>27</v>
      </c>
      <c r="R394" s="3" t="s">
        <v>28</v>
      </c>
      <c r="S394" s="3" t="s">
        <v>29</v>
      </c>
      <c r="T394" s="5">
        <v>1137.4100000000001</v>
      </c>
      <c r="U394" s="3">
        <v>490.45</v>
      </c>
      <c r="V394" s="3">
        <v>452.92</v>
      </c>
      <c r="W394" s="3">
        <v>194.04</v>
      </c>
    </row>
    <row r="395" spans="1:23" ht="60.75">
      <c r="A395" s="3" t="s">
        <v>23</v>
      </c>
      <c r="B395" s="3" t="s">
        <v>24</v>
      </c>
      <c r="C395" s="3" t="s">
        <v>35</v>
      </c>
      <c r="D395" s="3" t="s">
        <v>39</v>
      </c>
      <c r="E395" s="3" t="s">
        <v>32</v>
      </c>
      <c r="F395" s="3" t="s">
        <v>215</v>
      </c>
      <c r="G395" s="3">
        <v>2016</v>
      </c>
      <c r="H395" s="3" t="str">
        <f>CONCATENATE("64240344883")</f>
        <v>64240344883</v>
      </c>
      <c r="I395" s="3" t="s">
        <v>25</v>
      </c>
      <c r="J395" s="3" t="s">
        <v>26</v>
      </c>
      <c r="K395" s="3" t="str">
        <f t="shared" si="17"/>
        <v/>
      </c>
      <c r="L395" s="3" t="str">
        <f>CONCATENATE("11 11.1 4b")</f>
        <v>11 11.1 4b</v>
      </c>
      <c r="M395" s="3" t="str">
        <f>CONCATENATE("MRCMTT94S19D488B")</f>
        <v>MRCMTT94S19D488B</v>
      </c>
      <c r="N395" s="3" t="s">
        <v>507</v>
      </c>
      <c r="O395" s="3"/>
      <c r="P395" s="4">
        <v>42783</v>
      </c>
      <c r="Q395" s="3" t="s">
        <v>27</v>
      </c>
      <c r="R395" s="3" t="s">
        <v>28</v>
      </c>
      <c r="S395" s="3" t="s">
        <v>29</v>
      </c>
      <c r="T395" s="5">
        <v>1499.53</v>
      </c>
      <c r="U395" s="3">
        <v>646.6</v>
      </c>
      <c r="V395" s="3">
        <v>597.11</v>
      </c>
      <c r="W395" s="3">
        <v>255.82</v>
      </c>
    </row>
    <row r="396" spans="1:23" ht="72.75">
      <c r="A396" s="3" t="s">
        <v>23</v>
      </c>
      <c r="B396" s="3" t="s">
        <v>24</v>
      </c>
      <c r="C396" s="3" t="s">
        <v>35</v>
      </c>
      <c r="D396" s="3" t="s">
        <v>48</v>
      </c>
      <c r="E396" s="3" t="s">
        <v>30</v>
      </c>
      <c r="F396" s="3" t="s">
        <v>91</v>
      </c>
      <c r="G396" s="3">
        <v>2016</v>
      </c>
      <c r="H396" s="3" t="str">
        <f>CONCATENATE("64210596108")</f>
        <v>64210596108</v>
      </c>
      <c r="I396" s="3" t="s">
        <v>25</v>
      </c>
      <c r="J396" s="3" t="s">
        <v>26</v>
      </c>
      <c r="K396" s="3" t="str">
        <f t="shared" si="17"/>
        <v/>
      </c>
      <c r="L396" s="3" t="str">
        <f>CONCATENATE("13 13.1 4a")</f>
        <v>13 13.1 4a</v>
      </c>
      <c r="M396" s="3" t="str">
        <f>CONCATENATE("TRNFMS58A31M078A")</f>
        <v>TRNFMS58A31M078A</v>
      </c>
      <c r="N396" s="3" t="s">
        <v>508</v>
      </c>
      <c r="O396" s="3"/>
      <c r="P396" s="4">
        <v>42783</v>
      </c>
      <c r="Q396" s="3" t="s">
        <v>27</v>
      </c>
      <c r="R396" s="3" t="s">
        <v>28</v>
      </c>
      <c r="S396" s="3" t="s">
        <v>29</v>
      </c>
      <c r="T396" s="5">
        <v>4590</v>
      </c>
      <c r="U396" s="5">
        <v>1979.21</v>
      </c>
      <c r="V396" s="5">
        <v>1827.74</v>
      </c>
      <c r="W396" s="3">
        <v>783.05</v>
      </c>
    </row>
    <row r="397" spans="1:23" ht="36.75">
      <c r="A397" s="3" t="s">
        <v>23</v>
      </c>
      <c r="B397" s="3" t="s">
        <v>24</v>
      </c>
      <c r="C397" s="3" t="s">
        <v>35</v>
      </c>
      <c r="D397" s="3" t="s">
        <v>36</v>
      </c>
      <c r="E397" s="3" t="s">
        <v>30</v>
      </c>
      <c r="F397" s="3" t="s">
        <v>53</v>
      </c>
      <c r="G397" s="3">
        <v>2016</v>
      </c>
      <c r="H397" s="3" t="str">
        <f>CONCATENATE("64240339214")</f>
        <v>64240339214</v>
      </c>
      <c r="I397" s="3" t="s">
        <v>31</v>
      </c>
      <c r="J397" s="3" t="s">
        <v>26</v>
      </c>
      <c r="K397" s="3" t="str">
        <f t="shared" si="17"/>
        <v/>
      </c>
      <c r="L397" s="3" t="str">
        <f t="shared" ref="L397:L402" si="18">CONCATENATE("11 11.2 4b")</f>
        <v>11 11.2 4b</v>
      </c>
      <c r="M397" s="3" t="str">
        <f>CONCATENATE("01468430440")</f>
        <v>01468430440</v>
      </c>
      <c r="N397" s="3" t="s">
        <v>509</v>
      </c>
      <c r="O397" s="3"/>
      <c r="P397" s="4">
        <v>42783</v>
      </c>
      <c r="Q397" s="3" t="s">
        <v>27</v>
      </c>
      <c r="R397" s="3" t="s">
        <v>28</v>
      </c>
      <c r="S397" s="3" t="s">
        <v>29</v>
      </c>
      <c r="T397" s="5">
        <v>3744.95</v>
      </c>
      <c r="U397" s="5">
        <v>1614.82</v>
      </c>
      <c r="V397" s="5">
        <v>1491.24</v>
      </c>
      <c r="W397" s="3">
        <v>638.89</v>
      </c>
    </row>
    <row r="398" spans="1:23" ht="72.75">
      <c r="A398" s="3" t="s">
        <v>23</v>
      </c>
      <c r="B398" s="3" t="s">
        <v>24</v>
      </c>
      <c r="C398" s="3" t="s">
        <v>35</v>
      </c>
      <c r="D398" s="3" t="s">
        <v>48</v>
      </c>
      <c r="E398" s="3" t="s">
        <v>30</v>
      </c>
      <c r="F398" s="3" t="s">
        <v>55</v>
      </c>
      <c r="G398" s="3">
        <v>2016</v>
      </c>
      <c r="H398" s="3" t="str">
        <f>CONCATENATE("64240638250")</f>
        <v>64240638250</v>
      </c>
      <c r="I398" s="3" t="s">
        <v>25</v>
      </c>
      <c r="J398" s="3" t="s">
        <v>26</v>
      </c>
      <c r="K398" s="3" t="str">
        <f t="shared" si="17"/>
        <v/>
      </c>
      <c r="L398" s="3" t="str">
        <f t="shared" si="18"/>
        <v>11 11.2 4b</v>
      </c>
      <c r="M398" s="3" t="str">
        <f>CONCATENATE("MCZLCU44A24M078N")</f>
        <v>MCZLCU44A24M078N</v>
      </c>
      <c r="N398" s="3" t="s">
        <v>510</v>
      </c>
      <c r="O398" s="3"/>
      <c r="P398" s="4">
        <v>42783</v>
      </c>
      <c r="Q398" s="3" t="s">
        <v>27</v>
      </c>
      <c r="R398" s="3" t="s">
        <v>28</v>
      </c>
      <c r="S398" s="3" t="s">
        <v>29</v>
      </c>
      <c r="T398" s="5">
        <v>6787.19</v>
      </c>
      <c r="U398" s="5">
        <v>2926.64</v>
      </c>
      <c r="V398" s="5">
        <v>2702.66</v>
      </c>
      <c r="W398" s="5">
        <v>1157.8900000000001</v>
      </c>
    </row>
    <row r="399" spans="1:23" ht="72.75">
      <c r="A399" s="3" t="s">
        <v>23</v>
      </c>
      <c r="B399" s="3" t="s">
        <v>24</v>
      </c>
      <c r="C399" s="3" t="s">
        <v>35</v>
      </c>
      <c r="D399" s="3" t="s">
        <v>39</v>
      </c>
      <c r="E399" s="3" t="s">
        <v>33</v>
      </c>
      <c r="F399" s="3" t="s">
        <v>330</v>
      </c>
      <c r="G399" s="3">
        <v>2016</v>
      </c>
      <c r="H399" s="3" t="str">
        <f>CONCATENATE("64240411161")</f>
        <v>64240411161</v>
      </c>
      <c r="I399" s="3" t="s">
        <v>25</v>
      </c>
      <c r="J399" s="3" t="s">
        <v>26</v>
      </c>
      <c r="K399" s="3" t="str">
        <f t="shared" si="17"/>
        <v/>
      </c>
      <c r="L399" s="3" t="str">
        <f t="shared" si="18"/>
        <v>11 11.2 4b</v>
      </c>
      <c r="M399" s="3" t="str">
        <f>CONCATENATE("CMRMNR52A56E388S")</f>
        <v>CMRMNR52A56E388S</v>
      </c>
      <c r="N399" s="3" t="s">
        <v>511</v>
      </c>
      <c r="O399" s="3"/>
      <c r="P399" s="4">
        <v>42783</v>
      </c>
      <c r="Q399" s="3" t="s">
        <v>27</v>
      </c>
      <c r="R399" s="3" t="s">
        <v>28</v>
      </c>
      <c r="S399" s="3" t="s">
        <v>29</v>
      </c>
      <c r="T399" s="3">
        <v>632.12</v>
      </c>
      <c r="U399" s="3">
        <v>272.57</v>
      </c>
      <c r="V399" s="3">
        <v>251.71</v>
      </c>
      <c r="W399" s="3">
        <v>107.84</v>
      </c>
    </row>
    <row r="400" spans="1:23" ht="60.75">
      <c r="A400" s="3" t="s">
        <v>23</v>
      </c>
      <c r="B400" s="3" t="s">
        <v>24</v>
      </c>
      <c r="C400" s="3" t="s">
        <v>35</v>
      </c>
      <c r="D400" s="3" t="s">
        <v>36</v>
      </c>
      <c r="E400" s="3" t="s">
        <v>30</v>
      </c>
      <c r="F400" s="3" t="s">
        <v>257</v>
      </c>
      <c r="G400" s="3">
        <v>2016</v>
      </c>
      <c r="H400" s="3" t="str">
        <f>CONCATENATE("64240484952")</f>
        <v>64240484952</v>
      </c>
      <c r="I400" s="3" t="s">
        <v>25</v>
      </c>
      <c r="J400" s="3" t="s">
        <v>26</v>
      </c>
      <c r="K400" s="3" t="str">
        <f t="shared" si="17"/>
        <v/>
      </c>
      <c r="L400" s="3" t="str">
        <f t="shared" si="18"/>
        <v>11 11.2 4b</v>
      </c>
      <c r="M400" s="3" t="str">
        <f>CONCATENATE("TLLPCR58E23F520W")</f>
        <v>TLLPCR58E23F520W</v>
      </c>
      <c r="N400" s="3" t="s">
        <v>512</v>
      </c>
      <c r="O400" s="3"/>
      <c r="P400" s="4">
        <v>42783</v>
      </c>
      <c r="Q400" s="3" t="s">
        <v>27</v>
      </c>
      <c r="R400" s="3" t="s">
        <v>28</v>
      </c>
      <c r="S400" s="3" t="s">
        <v>29</v>
      </c>
      <c r="T400" s="5">
        <v>1397.25</v>
      </c>
      <c r="U400" s="3">
        <v>602.49</v>
      </c>
      <c r="V400" s="3">
        <v>556.38</v>
      </c>
      <c r="W400" s="3">
        <v>238.38</v>
      </c>
    </row>
    <row r="401" spans="1:23" ht="72.75">
      <c r="A401" s="3" t="s">
        <v>23</v>
      </c>
      <c r="B401" s="3" t="s">
        <v>24</v>
      </c>
      <c r="C401" s="3" t="s">
        <v>35</v>
      </c>
      <c r="D401" s="3" t="s">
        <v>36</v>
      </c>
      <c r="E401" s="3" t="s">
        <v>42</v>
      </c>
      <c r="F401" s="3" t="s">
        <v>42</v>
      </c>
      <c r="G401" s="3">
        <v>2016</v>
      </c>
      <c r="H401" s="3" t="str">
        <f>CONCATENATE("64240347787")</f>
        <v>64240347787</v>
      </c>
      <c r="I401" s="3" t="s">
        <v>25</v>
      </c>
      <c r="J401" s="3" t="s">
        <v>26</v>
      </c>
      <c r="K401" s="3" t="str">
        <f t="shared" si="17"/>
        <v/>
      </c>
      <c r="L401" s="3" t="str">
        <f t="shared" si="18"/>
        <v>11 11.2 4b</v>
      </c>
      <c r="M401" s="3" t="str">
        <f>CONCATENATE("LNCFBA85R03H769N")</f>
        <v>LNCFBA85R03H769N</v>
      </c>
      <c r="N401" s="3" t="s">
        <v>513</v>
      </c>
      <c r="O401" s="3"/>
      <c r="P401" s="4">
        <v>42783</v>
      </c>
      <c r="Q401" s="3" t="s">
        <v>27</v>
      </c>
      <c r="R401" s="3" t="s">
        <v>28</v>
      </c>
      <c r="S401" s="3" t="s">
        <v>29</v>
      </c>
      <c r="T401" s="5">
        <v>2723.65</v>
      </c>
      <c r="U401" s="5">
        <v>1174.44</v>
      </c>
      <c r="V401" s="5">
        <v>1084.56</v>
      </c>
      <c r="W401" s="3">
        <v>464.65</v>
      </c>
    </row>
    <row r="402" spans="1:23" ht="72.75">
      <c r="A402" s="3" t="s">
        <v>23</v>
      </c>
      <c r="B402" s="3" t="s">
        <v>24</v>
      </c>
      <c r="C402" s="3" t="s">
        <v>35</v>
      </c>
      <c r="D402" s="3" t="s">
        <v>36</v>
      </c>
      <c r="E402" s="3" t="s">
        <v>32</v>
      </c>
      <c r="F402" s="3" t="s">
        <v>208</v>
      </c>
      <c r="G402" s="3">
        <v>2016</v>
      </c>
      <c r="H402" s="3" t="str">
        <f>CONCATENATE("64240272134")</f>
        <v>64240272134</v>
      </c>
      <c r="I402" s="3" t="s">
        <v>25</v>
      </c>
      <c r="J402" s="3" t="s">
        <v>26</v>
      </c>
      <c r="K402" s="3" t="str">
        <f t="shared" si="17"/>
        <v/>
      </c>
      <c r="L402" s="3" t="str">
        <f t="shared" si="18"/>
        <v>11 11.2 4b</v>
      </c>
      <c r="M402" s="3" t="str">
        <f>CONCATENATE("RSSFNC51H60A047V")</f>
        <v>RSSFNC51H60A047V</v>
      </c>
      <c r="N402" s="3" t="s">
        <v>514</v>
      </c>
      <c r="O402" s="3"/>
      <c r="P402" s="4">
        <v>42783</v>
      </c>
      <c r="Q402" s="3" t="s">
        <v>27</v>
      </c>
      <c r="R402" s="3" t="s">
        <v>28</v>
      </c>
      <c r="S402" s="3" t="s">
        <v>29</v>
      </c>
      <c r="T402" s="5">
        <v>3160.29</v>
      </c>
      <c r="U402" s="5">
        <v>1362.72</v>
      </c>
      <c r="V402" s="5">
        <v>1258.43</v>
      </c>
      <c r="W402" s="3">
        <v>539.14</v>
      </c>
    </row>
    <row r="403" spans="1:23" ht="60.75">
      <c r="A403" s="3" t="s">
        <v>23</v>
      </c>
      <c r="B403" s="3" t="s">
        <v>24</v>
      </c>
      <c r="C403" s="3" t="s">
        <v>35</v>
      </c>
      <c r="D403" s="3" t="s">
        <v>36</v>
      </c>
      <c r="E403" s="3" t="s">
        <v>30</v>
      </c>
      <c r="F403" s="3" t="s">
        <v>37</v>
      </c>
      <c r="G403" s="3">
        <v>2016</v>
      </c>
      <c r="H403" s="3" t="str">
        <f>CONCATENATE("64210433708")</f>
        <v>64210433708</v>
      </c>
      <c r="I403" s="3" t="s">
        <v>25</v>
      </c>
      <c r="J403" s="3" t="s">
        <v>26</v>
      </c>
      <c r="K403" s="3" t="str">
        <f t="shared" si="17"/>
        <v/>
      </c>
      <c r="L403" s="3" t="str">
        <f>CONCATENATE("13 13.1 4a")</f>
        <v>13 13.1 4a</v>
      </c>
      <c r="M403" s="3" t="str">
        <f>CONCATENATE("MLNVCN42S30F509Y")</f>
        <v>MLNVCN42S30F509Y</v>
      </c>
      <c r="N403" s="3" t="s">
        <v>515</v>
      </c>
      <c r="O403" s="3"/>
      <c r="P403" s="4">
        <v>42783</v>
      </c>
      <c r="Q403" s="3" t="s">
        <v>27</v>
      </c>
      <c r="R403" s="3" t="s">
        <v>28</v>
      </c>
      <c r="S403" s="3" t="s">
        <v>29</v>
      </c>
      <c r="T403" s="3">
        <v>542.17999999999995</v>
      </c>
      <c r="U403" s="3">
        <v>233.79</v>
      </c>
      <c r="V403" s="3">
        <v>215.9</v>
      </c>
      <c r="W403" s="3">
        <v>92.49</v>
      </c>
    </row>
    <row r="404" spans="1:23" ht="60.75">
      <c r="A404" s="3" t="s">
        <v>23</v>
      </c>
      <c r="B404" s="3" t="s">
        <v>24</v>
      </c>
      <c r="C404" s="3" t="s">
        <v>35</v>
      </c>
      <c r="D404" s="3" t="s">
        <v>39</v>
      </c>
      <c r="E404" s="3" t="s">
        <v>30</v>
      </c>
      <c r="F404" s="3" t="s">
        <v>97</v>
      </c>
      <c r="G404" s="3">
        <v>2016</v>
      </c>
      <c r="H404" s="3" t="str">
        <f>CONCATENATE("64240367306")</f>
        <v>64240367306</v>
      </c>
      <c r="I404" s="3" t="s">
        <v>31</v>
      </c>
      <c r="J404" s="3" t="s">
        <v>26</v>
      </c>
      <c r="K404" s="3" t="str">
        <f t="shared" si="17"/>
        <v/>
      </c>
      <c r="L404" s="3" t="str">
        <f>CONCATENATE("11 11.2 4b")</f>
        <v>11 11.2 4b</v>
      </c>
      <c r="M404" s="3" t="str">
        <f>CONCATENATE("PRNGNE36S02G157Y")</f>
        <v>PRNGNE36S02G157Y</v>
      </c>
      <c r="N404" s="3" t="s">
        <v>516</v>
      </c>
      <c r="O404" s="3"/>
      <c r="P404" s="4">
        <v>42783</v>
      </c>
      <c r="Q404" s="3" t="s">
        <v>27</v>
      </c>
      <c r="R404" s="3" t="s">
        <v>28</v>
      </c>
      <c r="S404" s="3" t="s">
        <v>29</v>
      </c>
      <c r="T404" s="5">
        <v>3337.92</v>
      </c>
      <c r="U404" s="5">
        <v>1439.31</v>
      </c>
      <c r="V404" s="5">
        <v>1329.16</v>
      </c>
      <c r="W404" s="3">
        <v>569.45000000000005</v>
      </c>
    </row>
    <row r="405" spans="1:23" ht="60.75">
      <c r="A405" s="3" t="s">
        <v>23</v>
      </c>
      <c r="B405" s="3" t="s">
        <v>24</v>
      </c>
      <c r="C405" s="3" t="s">
        <v>35</v>
      </c>
      <c r="D405" s="3" t="s">
        <v>48</v>
      </c>
      <c r="E405" s="3" t="s">
        <v>34</v>
      </c>
      <c r="F405" s="3" t="s">
        <v>141</v>
      </c>
      <c r="G405" s="3">
        <v>2016</v>
      </c>
      <c r="H405" s="3" t="str">
        <f>CONCATENATE("64240277372")</f>
        <v>64240277372</v>
      </c>
      <c r="I405" s="3" t="s">
        <v>25</v>
      </c>
      <c r="J405" s="3" t="s">
        <v>26</v>
      </c>
      <c r="K405" s="3" t="str">
        <f t="shared" si="17"/>
        <v/>
      </c>
      <c r="L405" s="3" t="str">
        <f>CONCATENATE("11 11.2 4b")</f>
        <v>11 11.2 4b</v>
      </c>
      <c r="M405" s="3" t="str">
        <f>CONCATENATE("FRSPRZ67B53E463U")</f>
        <v>FRSPRZ67B53E463U</v>
      </c>
      <c r="N405" s="3" t="s">
        <v>517</v>
      </c>
      <c r="O405" s="3"/>
      <c r="P405" s="4">
        <v>42783</v>
      </c>
      <c r="Q405" s="3" t="s">
        <v>27</v>
      </c>
      <c r="R405" s="3" t="s">
        <v>28</v>
      </c>
      <c r="S405" s="3" t="s">
        <v>29</v>
      </c>
      <c r="T405" s="5">
        <v>2915.09</v>
      </c>
      <c r="U405" s="5">
        <v>1256.99</v>
      </c>
      <c r="V405" s="5">
        <v>1160.79</v>
      </c>
      <c r="W405" s="3">
        <v>497.31</v>
      </c>
    </row>
    <row r="406" spans="1:23" ht="36.75">
      <c r="A406" s="3" t="s">
        <v>23</v>
      </c>
      <c r="B406" s="3" t="s">
        <v>24</v>
      </c>
      <c r="C406" s="3" t="s">
        <v>35</v>
      </c>
      <c r="D406" s="3" t="s">
        <v>39</v>
      </c>
      <c r="E406" s="3" t="s">
        <v>34</v>
      </c>
      <c r="F406" s="3" t="s">
        <v>170</v>
      </c>
      <c r="G406" s="3">
        <v>2016</v>
      </c>
      <c r="H406" s="3" t="str">
        <f>CONCATENATE("64240703674")</f>
        <v>64240703674</v>
      </c>
      <c r="I406" s="3" t="s">
        <v>25</v>
      </c>
      <c r="J406" s="3" t="s">
        <v>26</v>
      </c>
      <c r="K406" s="3" t="str">
        <f t="shared" si="17"/>
        <v/>
      </c>
      <c r="L406" s="3" t="str">
        <f>CONCATENATE("11 11.1 4b")</f>
        <v>11 11.1 4b</v>
      </c>
      <c r="M406" s="3" t="str">
        <f>CONCATENATE("01018770428")</f>
        <v>01018770428</v>
      </c>
      <c r="N406" s="3" t="s">
        <v>518</v>
      </c>
      <c r="O406" s="3"/>
      <c r="P406" s="4">
        <v>42783</v>
      </c>
      <c r="Q406" s="3" t="s">
        <v>27</v>
      </c>
      <c r="R406" s="3" t="s">
        <v>28</v>
      </c>
      <c r="S406" s="3" t="s">
        <v>29</v>
      </c>
      <c r="T406" s="5">
        <v>15276.89</v>
      </c>
      <c r="U406" s="5">
        <v>6587.39</v>
      </c>
      <c r="V406" s="5">
        <v>6083.26</v>
      </c>
      <c r="W406" s="5">
        <v>2606.2399999999998</v>
      </c>
    </row>
    <row r="407" spans="1:23" ht="72.75">
      <c r="A407" s="3" t="s">
        <v>23</v>
      </c>
      <c r="B407" s="3" t="s">
        <v>24</v>
      </c>
      <c r="C407" s="3" t="s">
        <v>35</v>
      </c>
      <c r="D407" s="3" t="s">
        <v>36</v>
      </c>
      <c r="E407" s="3" t="s">
        <v>30</v>
      </c>
      <c r="F407" s="3" t="s">
        <v>53</v>
      </c>
      <c r="G407" s="3">
        <v>2016</v>
      </c>
      <c r="H407" s="3" t="str">
        <f>CONCATENATE("64240635611")</f>
        <v>64240635611</v>
      </c>
      <c r="I407" s="3" t="s">
        <v>31</v>
      </c>
      <c r="J407" s="3" t="s">
        <v>26</v>
      </c>
      <c r="K407" s="3" t="str">
        <f t="shared" si="17"/>
        <v/>
      </c>
      <c r="L407" s="3" t="str">
        <f>CONCATENATE("11 11.2 4b")</f>
        <v>11 11.2 4b</v>
      </c>
      <c r="M407" s="3" t="str">
        <f>CONCATENATE("MRCSFN74M23H769B")</f>
        <v>MRCSFN74M23H769B</v>
      </c>
      <c r="N407" s="3" t="s">
        <v>519</v>
      </c>
      <c r="O407" s="3"/>
      <c r="P407" s="4">
        <v>42783</v>
      </c>
      <c r="Q407" s="3" t="s">
        <v>27</v>
      </c>
      <c r="R407" s="3" t="s">
        <v>28</v>
      </c>
      <c r="S407" s="3" t="s">
        <v>29</v>
      </c>
      <c r="T407" s="5">
        <v>2787.8</v>
      </c>
      <c r="U407" s="5">
        <v>1202.0999999999999</v>
      </c>
      <c r="V407" s="5">
        <v>1110.0999999999999</v>
      </c>
      <c r="W407" s="3">
        <v>475.6</v>
      </c>
    </row>
    <row r="408" spans="1:23" ht="60.75">
      <c r="A408" s="3" t="s">
        <v>23</v>
      </c>
      <c r="B408" s="3" t="s">
        <v>24</v>
      </c>
      <c r="C408" s="3" t="s">
        <v>35</v>
      </c>
      <c r="D408" s="3" t="s">
        <v>48</v>
      </c>
      <c r="E408" s="3" t="s">
        <v>30</v>
      </c>
      <c r="F408" s="3" t="s">
        <v>55</v>
      </c>
      <c r="G408" s="3">
        <v>2016</v>
      </c>
      <c r="H408" s="3" t="str">
        <f>CONCATENATE("64240694907")</f>
        <v>64240694907</v>
      </c>
      <c r="I408" s="3" t="s">
        <v>25</v>
      </c>
      <c r="J408" s="3" t="s">
        <v>26</v>
      </c>
      <c r="K408" s="3" t="str">
        <f t="shared" si="17"/>
        <v/>
      </c>
      <c r="L408" s="3" t="str">
        <f>CONCATENATE("11 11.2 4b")</f>
        <v>11 11.2 4b</v>
      </c>
      <c r="M408" s="3" t="str">
        <f>CONCATENATE("MCHMRA32L06F268Q")</f>
        <v>MCHMRA32L06F268Q</v>
      </c>
      <c r="N408" s="3" t="s">
        <v>520</v>
      </c>
      <c r="O408" s="3"/>
      <c r="P408" s="4">
        <v>42783</v>
      </c>
      <c r="Q408" s="3" t="s">
        <v>27</v>
      </c>
      <c r="R408" s="3" t="s">
        <v>28</v>
      </c>
      <c r="S408" s="3" t="s">
        <v>29</v>
      </c>
      <c r="T408" s="5">
        <v>1419.32</v>
      </c>
      <c r="U408" s="3">
        <v>612.01</v>
      </c>
      <c r="V408" s="3">
        <v>565.16999999999996</v>
      </c>
      <c r="W408" s="3">
        <v>242.14</v>
      </c>
    </row>
    <row r="409" spans="1:23" ht="60.75">
      <c r="A409" s="3" t="s">
        <v>23</v>
      </c>
      <c r="B409" s="3" t="s">
        <v>24</v>
      </c>
      <c r="C409" s="3" t="s">
        <v>35</v>
      </c>
      <c r="D409" s="3" t="s">
        <v>43</v>
      </c>
      <c r="E409" s="3" t="s">
        <v>30</v>
      </c>
      <c r="F409" s="3" t="s">
        <v>113</v>
      </c>
      <c r="G409" s="3">
        <v>2016</v>
      </c>
      <c r="H409" s="3" t="str">
        <f>CONCATENATE("64240634085")</f>
        <v>64240634085</v>
      </c>
      <c r="I409" s="3" t="s">
        <v>25</v>
      </c>
      <c r="J409" s="3" t="s">
        <v>26</v>
      </c>
      <c r="K409" s="3" t="str">
        <f t="shared" si="17"/>
        <v/>
      </c>
      <c r="L409" s="3" t="str">
        <f>CONCATENATE("11 11.2 4b")</f>
        <v>11 11.2 4b</v>
      </c>
      <c r="M409" s="3" t="str">
        <f>CONCATENATE("CNCGST75M02B352T")</f>
        <v>CNCGST75M02B352T</v>
      </c>
      <c r="N409" s="3" t="s">
        <v>521</v>
      </c>
      <c r="O409" s="3"/>
      <c r="P409" s="4">
        <v>42783</v>
      </c>
      <c r="Q409" s="3" t="s">
        <v>27</v>
      </c>
      <c r="R409" s="3" t="s">
        <v>28</v>
      </c>
      <c r="S409" s="3" t="s">
        <v>29</v>
      </c>
      <c r="T409" s="5">
        <v>8748.32</v>
      </c>
      <c r="U409" s="5">
        <v>3772.28</v>
      </c>
      <c r="V409" s="5">
        <v>3483.58</v>
      </c>
      <c r="W409" s="5">
        <v>1492.46</v>
      </c>
    </row>
    <row r="410" spans="1:23" ht="72.75">
      <c r="A410" s="3" t="s">
        <v>23</v>
      </c>
      <c r="B410" s="3" t="s">
        <v>24</v>
      </c>
      <c r="C410" s="3" t="s">
        <v>35</v>
      </c>
      <c r="D410" s="3" t="s">
        <v>39</v>
      </c>
      <c r="E410" s="3" t="s">
        <v>33</v>
      </c>
      <c r="F410" s="3" t="s">
        <v>498</v>
      </c>
      <c r="G410" s="3">
        <v>2016</v>
      </c>
      <c r="H410" s="3" t="str">
        <f>CONCATENATE("64240665337")</f>
        <v>64240665337</v>
      </c>
      <c r="I410" s="3" t="s">
        <v>25</v>
      </c>
      <c r="J410" s="3" t="s">
        <v>26</v>
      </c>
      <c r="K410" s="3" t="str">
        <f t="shared" si="17"/>
        <v/>
      </c>
      <c r="L410" s="3" t="str">
        <f>CONCATENATE("11 11.2 4b")</f>
        <v>11 11.2 4b</v>
      </c>
      <c r="M410" s="3" t="str">
        <f>CONCATENATE("BYSRMN61H55Z103L")</f>
        <v>BYSRMN61H55Z103L</v>
      </c>
      <c r="N410" s="3" t="s">
        <v>522</v>
      </c>
      <c r="O410" s="3"/>
      <c r="P410" s="4">
        <v>42783</v>
      </c>
      <c r="Q410" s="3" t="s">
        <v>27</v>
      </c>
      <c r="R410" s="3" t="s">
        <v>28</v>
      </c>
      <c r="S410" s="3" t="s">
        <v>29</v>
      </c>
      <c r="T410" s="5">
        <v>1408.19</v>
      </c>
      <c r="U410" s="3">
        <v>607.21</v>
      </c>
      <c r="V410" s="3">
        <v>560.74</v>
      </c>
      <c r="W410" s="3">
        <v>240.24</v>
      </c>
    </row>
    <row r="411" spans="1:23" ht="60.75">
      <c r="A411" s="3" t="s">
        <v>23</v>
      </c>
      <c r="B411" s="3" t="s">
        <v>24</v>
      </c>
      <c r="C411" s="3" t="s">
        <v>35</v>
      </c>
      <c r="D411" s="3" t="s">
        <v>39</v>
      </c>
      <c r="E411" s="3" t="s">
        <v>30</v>
      </c>
      <c r="F411" s="3" t="s">
        <v>84</v>
      </c>
      <c r="G411" s="3">
        <v>2016</v>
      </c>
      <c r="H411" s="3" t="str">
        <f>CONCATENATE("64210870008")</f>
        <v>64210870008</v>
      </c>
      <c r="I411" s="3" t="s">
        <v>25</v>
      </c>
      <c r="J411" s="3" t="s">
        <v>26</v>
      </c>
      <c r="K411" s="3" t="str">
        <f t="shared" si="17"/>
        <v/>
      </c>
      <c r="L411" s="3" t="str">
        <f>CONCATENATE("13 13.1 4a")</f>
        <v>13 13.1 4a</v>
      </c>
      <c r="M411" s="3" t="str">
        <f>CONCATENATE("CRSTMS89C13D786R")</f>
        <v>CRSTMS89C13D786R</v>
      </c>
      <c r="N411" s="3" t="s">
        <v>523</v>
      </c>
      <c r="O411" s="3"/>
      <c r="P411" s="4">
        <v>42783</v>
      </c>
      <c r="Q411" s="3" t="s">
        <v>27</v>
      </c>
      <c r="R411" s="3" t="s">
        <v>28</v>
      </c>
      <c r="S411" s="3" t="s">
        <v>29</v>
      </c>
      <c r="T411" s="5">
        <v>1569.99</v>
      </c>
      <c r="U411" s="3">
        <v>676.98</v>
      </c>
      <c r="V411" s="3">
        <v>625.16999999999996</v>
      </c>
      <c r="W411" s="3">
        <v>267.83999999999997</v>
      </c>
    </row>
    <row r="412" spans="1:23" ht="36.75">
      <c r="A412" s="3" t="s">
        <v>23</v>
      </c>
      <c r="B412" s="3" t="s">
        <v>24</v>
      </c>
      <c r="C412" s="3" t="s">
        <v>35</v>
      </c>
      <c r="D412" s="3" t="s">
        <v>43</v>
      </c>
      <c r="E412" s="3" t="s">
        <v>30</v>
      </c>
      <c r="F412" s="3" t="s">
        <v>131</v>
      </c>
      <c r="G412" s="3">
        <v>2016</v>
      </c>
      <c r="H412" s="3" t="str">
        <f>CONCATENATE("64240798674")</f>
        <v>64240798674</v>
      </c>
      <c r="I412" s="3" t="s">
        <v>25</v>
      </c>
      <c r="J412" s="3" t="s">
        <v>26</v>
      </c>
      <c r="K412" s="3" t="str">
        <f t="shared" si="17"/>
        <v/>
      </c>
      <c r="L412" s="3" t="str">
        <f>CONCATENATE("11 11.2 4b")</f>
        <v>11 11.2 4b</v>
      </c>
      <c r="M412" s="3" t="str">
        <f>CONCATENATE("02571050422")</f>
        <v>02571050422</v>
      </c>
      <c r="N412" s="3" t="s">
        <v>524</v>
      </c>
      <c r="O412" s="3"/>
      <c r="P412" s="4">
        <v>42783</v>
      </c>
      <c r="Q412" s="3" t="s">
        <v>27</v>
      </c>
      <c r="R412" s="3" t="s">
        <v>28</v>
      </c>
      <c r="S412" s="3" t="s">
        <v>29</v>
      </c>
      <c r="T412" s="5">
        <v>20640.490000000002</v>
      </c>
      <c r="U412" s="5">
        <v>8900.18</v>
      </c>
      <c r="V412" s="5">
        <v>8219.0400000000009</v>
      </c>
      <c r="W412" s="5">
        <v>3521.27</v>
      </c>
    </row>
    <row r="413" spans="1:23" ht="60.75">
      <c r="A413" s="3" t="s">
        <v>23</v>
      </c>
      <c r="B413" s="3" t="s">
        <v>24</v>
      </c>
      <c r="C413" s="3" t="s">
        <v>35</v>
      </c>
      <c r="D413" s="3" t="s">
        <v>36</v>
      </c>
      <c r="E413" s="3" t="s">
        <v>30</v>
      </c>
      <c r="F413" s="3" t="s">
        <v>86</v>
      </c>
      <c r="G413" s="3">
        <v>2016</v>
      </c>
      <c r="H413" s="3" t="str">
        <f>CONCATENATE("64210384109")</f>
        <v>64210384109</v>
      </c>
      <c r="I413" s="3" t="s">
        <v>25</v>
      </c>
      <c r="J413" s="3" t="s">
        <v>26</v>
      </c>
      <c r="K413" s="3" t="str">
        <f t="shared" si="17"/>
        <v/>
      </c>
      <c r="L413" s="3" t="str">
        <f>CONCATENATE("13 13.1 4a")</f>
        <v>13 13.1 4a</v>
      </c>
      <c r="M413" s="3" t="str">
        <f>CONCATENATE("FLPLGU62P03L728T")</f>
        <v>FLPLGU62P03L728T</v>
      </c>
      <c r="N413" s="3" t="s">
        <v>525</v>
      </c>
      <c r="O413" s="3"/>
      <c r="P413" s="4">
        <v>42783</v>
      </c>
      <c r="Q413" s="3" t="s">
        <v>27</v>
      </c>
      <c r="R413" s="3" t="s">
        <v>28</v>
      </c>
      <c r="S413" s="3" t="s">
        <v>29</v>
      </c>
      <c r="T413" s="5">
        <v>1037.49</v>
      </c>
      <c r="U413" s="3">
        <v>447.37</v>
      </c>
      <c r="V413" s="3">
        <v>413.13</v>
      </c>
      <c r="W413" s="3">
        <v>176.99</v>
      </c>
    </row>
    <row r="414" spans="1:23" ht="72.75">
      <c r="A414" s="3" t="s">
        <v>23</v>
      </c>
      <c r="B414" s="3" t="s">
        <v>24</v>
      </c>
      <c r="C414" s="3" t="s">
        <v>35</v>
      </c>
      <c r="D414" s="3" t="s">
        <v>39</v>
      </c>
      <c r="E414" s="3" t="s">
        <v>30</v>
      </c>
      <c r="F414" s="3" t="s">
        <v>40</v>
      </c>
      <c r="G414" s="3">
        <v>2016</v>
      </c>
      <c r="H414" s="3" t="str">
        <f>CONCATENATE("64240530226")</f>
        <v>64240530226</v>
      </c>
      <c r="I414" s="3" t="s">
        <v>25</v>
      </c>
      <c r="J414" s="3" t="s">
        <v>26</v>
      </c>
      <c r="K414" s="3" t="str">
        <f t="shared" si="17"/>
        <v/>
      </c>
      <c r="L414" s="3" t="str">
        <f>CONCATENATE("11 11.2 4b")</f>
        <v>11 11.2 4b</v>
      </c>
      <c r="M414" s="3" t="str">
        <f>CONCATENATE("VNOMTM60H65D528E")</f>
        <v>VNOMTM60H65D528E</v>
      </c>
      <c r="N414" s="3" t="s">
        <v>526</v>
      </c>
      <c r="O414" s="3"/>
      <c r="P414" s="4">
        <v>42783</v>
      </c>
      <c r="Q414" s="3" t="s">
        <v>27</v>
      </c>
      <c r="R414" s="3" t="s">
        <v>28</v>
      </c>
      <c r="S414" s="3" t="s">
        <v>29</v>
      </c>
      <c r="T414" s="5">
        <v>1671.81</v>
      </c>
      <c r="U414" s="3">
        <v>720.88</v>
      </c>
      <c r="V414" s="3">
        <v>665.71</v>
      </c>
      <c r="W414" s="3">
        <v>285.22000000000003</v>
      </c>
    </row>
    <row r="415" spans="1:23" ht="60.75">
      <c r="A415" s="3" t="s">
        <v>23</v>
      </c>
      <c r="B415" s="3" t="s">
        <v>24</v>
      </c>
      <c r="C415" s="3" t="s">
        <v>35</v>
      </c>
      <c r="D415" s="3" t="s">
        <v>36</v>
      </c>
      <c r="E415" s="3" t="s">
        <v>42</v>
      </c>
      <c r="F415" s="3" t="s">
        <v>42</v>
      </c>
      <c r="G415" s="3">
        <v>2016</v>
      </c>
      <c r="H415" s="3" t="str">
        <f>CONCATENATE("64240524682")</f>
        <v>64240524682</v>
      </c>
      <c r="I415" s="3" t="s">
        <v>25</v>
      </c>
      <c r="J415" s="3" t="s">
        <v>26</v>
      </c>
      <c r="K415" s="3" t="str">
        <f t="shared" si="17"/>
        <v/>
      </c>
      <c r="L415" s="3" t="str">
        <f>CONCATENATE("11 11.2 4b")</f>
        <v>11 11.2 4b</v>
      </c>
      <c r="M415" s="3" t="str">
        <f>CONCATENATE("VGNLCU74T03H321A")</f>
        <v>VGNLCU74T03H321A</v>
      </c>
      <c r="N415" s="3" t="s">
        <v>527</v>
      </c>
      <c r="O415" s="3"/>
      <c r="P415" s="4">
        <v>42783</v>
      </c>
      <c r="Q415" s="3" t="s">
        <v>27</v>
      </c>
      <c r="R415" s="3" t="s">
        <v>28</v>
      </c>
      <c r="S415" s="3" t="s">
        <v>29</v>
      </c>
      <c r="T415" s="5">
        <v>1314.47</v>
      </c>
      <c r="U415" s="3">
        <v>566.79999999999995</v>
      </c>
      <c r="V415" s="3">
        <v>523.41999999999996</v>
      </c>
      <c r="W415" s="3">
        <v>224.25</v>
      </c>
    </row>
    <row r="416" spans="1:23" ht="36.75">
      <c r="A416" s="3" t="s">
        <v>23</v>
      </c>
      <c r="B416" s="3" t="s">
        <v>24</v>
      </c>
      <c r="C416" s="3" t="s">
        <v>35</v>
      </c>
      <c r="D416" s="3" t="s">
        <v>36</v>
      </c>
      <c r="E416" s="3" t="s">
        <v>42</v>
      </c>
      <c r="F416" s="3" t="s">
        <v>42</v>
      </c>
      <c r="G416" s="3">
        <v>2016</v>
      </c>
      <c r="H416" s="3" t="str">
        <f>CONCATENATE("64240539698")</f>
        <v>64240539698</v>
      </c>
      <c r="I416" s="3" t="s">
        <v>25</v>
      </c>
      <c r="J416" s="3" t="s">
        <v>26</v>
      </c>
      <c r="K416" s="3" t="str">
        <f t="shared" si="17"/>
        <v/>
      </c>
      <c r="L416" s="3" t="str">
        <f>CONCATENATE("11 11.1 4b")</f>
        <v>11 11.1 4b</v>
      </c>
      <c r="M416" s="3" t="str">
        <f>CONCATENATE("02255700441")</f>
        <v>02255700441</v>
      </c>
      <c r="N416" s="3" t="s">
        <v>528</v>
      </c>
      <c r="O416" s="3"/>
      <c r="P416" s="4">
        <v>42783</v>
      </c>
      <c r="Q416" s="3" t="s">
        <v>27</v>
      </c>
      <c r="R416" s="3" t="s">
        <v>28</v>
      </c>
      <c r="S416" s="3" t="s">
        <v>29</v>
      </c>
      <c r="T416" s="5">
        <v>5762.96</v>
      </c>
      <c r="U416" s="5">
        <v>2484.9899999999998</v>
      </c>
      <c r="V416" s="5">
        <v>2294.81</v>
      </c>
      <c r="W416" s="3">
        <v>983.16</v>
      </c>
    </row>
    <row r="417" spans="1:23" ht="36.75">
      <c r="A417" s="3" t="s">
        <v>23</v>
      </c>
      <c r="B417" s="3" t="s">
        <v>24</v>
      </c>
      <c r="C417" s="3" t="s">
        <v>35</v>
      </c>
      <c r="D417" s="3" t="s">
        <v>36</v>
      </c>
      <c r="E417" s="3" t="s">
        <v>59</v>
      </c>
      <c r="F417" s="3" t="s">
        <v>62</v>
      </c>
      <c r="G417" s="3">
        <v>2016</v>
      </c>
      <c r="H417" s="3" t="str">
        <f>CONCATENATE("64240497368")</f>
        <v>64240497368</v>
      </c>
      <c r="I417" s="3" t="s">
        <v>25</v>
      </c>
      <c r="J417" s="3" t="s">
        <v>26</v>
      </c>
      <c r="K417" s="3" t="str">
        <f t="shared" si="17"/>
        <v/>
      </c>
      <c r="L417" s="3" t="str">
        <f>CONCATENATE("10 10.1 4b")</f>
        <v>10 10.1 4b</v>
      </c>
      <c r="M417" s="3" t="str">
        <f>CONCATENATE("04416570960")</f>
        <v>04416570960</v>
      </c>
      <c r="N417" s="3" t="s">
        <v>529</v>
      </c>
      <c r="O417" s="3"/>
      <c r="P417" s="4">
        <v>42783</v>
      </c>
      <c r="Q417" s="3" t="s">
        <v>27</v>
      </c>
      <c r="R417" s="3" t="s">
        <v>28</v>
      </c>
      <c r="S417" s="3" t="s">
        <v>29</v>
      </c>
      <c r="T417" s="5">
        <v>2908.1</v>
      </c>
      <c r="U417" s="5">
        <v>1253.97</v>
      </c>
      <c r="V417" s="5">
        <v>1158.01</v>
      </c>
      <c r="W417" s="3">
        <v>496.12</v>
      </c>
    </row>
    <row r="418" spans="1:23" ht="60.75">
      <c r="A418" s="3" t="s">
        <v>23</v>
      </c>
      <c r="B418" s="3" t="s">
        <v>24</v>
      </c>
      <c r="C418" s="3" t="s">
        <v>35</v>
      </c>
      <c r="D418" s="3" t="s">
        <v>36</v>
      </c>
      <c r="E418" s="3" t="s">
        <v>59</v>
      </c>
      <c r="F418" s="3" t="s">
        <v>62</v>
      </c>
      <c r="G418" s="3">
        <v>2016</v>
      </c>
      <c r="H418" s="3" t="str">
        <f>CONCATENATE("64240291597")</f>
        <v>64240291597</v>
      </c>
      <c r="I418" s="3" t="s">
        <v>25</v>
      </c>
      <c r="J418" s="3" t="s">
        <v>26</v>
      </c>
      <c r="K418" s="3" t="str">
        <f t="shared" si="17"/>
        <v/>
      </c>
      <c r="L418" s="3" t="str">
        <f>CONCATENATE("11 11.2 4b")</f>
        <v>11 11.2 4b</v>
      </c>
      <c r="M418" s="3" t="str">
        <f>CONCATENATE("BLLTBR56P24B534G")</f>
        <v>BLLTBR56P24B534G</v>
      </c>
      <c r="N418" s="3" t="s">
        <v>530</v>
      </c>
      <c r="O418" s="3"/>
      <c r="P418" s="4">
        <v>42783</v>
      </c>
      <c r="Q418" s="3" t="s">
        <v>27</v>
      </c>
      <c r="R418" s="3" t="s">
        <v>28</v>
      </c>
      <c r="S418" s="3" t="s">
        <v>29</v>
      </c>
      <c r="T418" s="5">
        <v>1207.1500000000001</v>
      </c>
      <c r="U418" s="3">
        <v>520.52</v>
      </c>
      <c r="V418" s="3">
        <v>480.69</v>
      </c>
      <c r="W418" s="3">
        <v>205.94</v>
      </c>
    </row>
    <row r="419" spans="1:23" ht="36.75">
      <c r="A419" s="3" t="s">
        <v>23</v>
      </c>
      <c r="B419" s="3" t="s">
        <v>24</v>
      </c>
      <c r="C419" s="3" t="s">
        <v>35</v>
      </c>
      <c r="D419" s="3" t="s">
        <v>43</v>
      </c>
      <c r="E419" s="3" t="s">
        <v>32</v>
      </c>
      <c r="F419" s="3" t="s">
        <v>78</v>
      </c>
      <c r="G419" s="3">
        <v>2016</v>
      </c>
      <c r="H419" s="3" t="str">
        <f>CONCATENATE("64240545240")</f>
        <v>64240545240</v>
      </c>
      <c r="I419" s="3" t="s">
        <v>31</v>
      </c>
      <c r="J419" s="3" t="s">
        <v>26</v>
      </c>
      <c r="K419" s="3" t="str">
        <f t="shared" si="17"/>
        <v/>
      </c>
      <c r="L419" s="3" t="str">
        <f>CONCATENATE("11 11.2 4b")</f>
        <v>11 11.2 4b</v>
      </c>
      <c r="M419" s="3" t="str">
        <f>CONCATENATE("01487790410")</f>
        <v>01487790410</v>
      </c>
      <c r="N419" s="3" t="s">
        <v>195</v>
      </c>
      <c r="O419" s="3"/>
      <c r="P419" s="4">
        <v>42783</v>
      </c>
      <c r="Q419" s="3" t="s">
        <v>27</v>
      </c>
      <c r="R419" s="3" t="s">
        <v>28</v>
      </c>
      <c r="S419" s="3" t="s">
        <v>29</v>
      </c>
      <c r="T419" s="5">
        <v>2247.6</v>
      </c>
      <c r="U419" s="3">
        <v>969.17</v>
      </c>
      <c r="V419" s="3">
        <v>894.99</v>
      </c>
      <c r="W419" s="3">
        <v>383.44</v>
      </c>
    </row>
    <row r="420" spans="1:23" ht="60.75">
      <c r="A420" s="3" t="s">
        <v>23</v>
      </c>
      <c r="B420" s="3" t="s">
        <v>24</v>
      </c>
      <c r="C420" s="3" t="s">
        <v>35</v>
      </c>
      <c r="D420" s="3" t="s">
        <v>48</v>
      </c>
      <c r="E420" s="3" t="s">
        <v>49</v>
      </c>
      <c r="F420" s="3" t="s">
        <v>80</v>
      </c>
      <c r="G420" s="3">
        <v>2016</v>
      </c>
      <c r="H420" s="3" t="str">
        <f>CONCATENATE("64210653644")</f>
        <v>64210653644</v>
      </c>
      <c r="I420" s="3" t="s">
        <v>25</v>
      </c>
      <c r="J420" s="3" t="s">
        <v>26</v>
      </c>
      <c r="K420" s="3" t="str">
        <f t="shared" si="17"/>
        <v/>
      </c>
      <c r="L420" s="3" t="str">
        <f>CONCATENATE("13 13.1 4a")</f>
        <v>13 13.1 4a</v>
      </c>
      <c r="M420" s="3" t="str">
        <f>CONCATENATE("CNFGNI40D05I651S")</f>
        <v>CNFGNI40D05I651S</v>
      </c>
      <c r="N420" s="3" t="s">
        <v>531</v>
      </c>
      <c r="O420" s="3"/>
      <c r="P420" s="4">
        <v>42783</v>
      </c>
      <c r="Q420" s="3" t="s">
        <v>27</v>
      </c>
      <c r="R420" s="3" t="s">
        <v>28</v>
      </c>
      <c r="S420" s="3" t="s">
        <v>29</v>
      </c>
      <c r="T420" s="5">
        <v>5400</v>
      </c>
      <c r="U420" s="5">
        <v>2328.48</v>
      </c>
      <c r="V420" s="5">
        <v>2150.2800000000002</v>
      </c>
      <c r="W420" s="3">
        <v>921.24</v>
      </c>
    </row>
    <row r="421" spans="1:23" ht="60.75">
      <c r="A421" s="3" t="s">
        <v>23</v>
      </c>
      <c r="B421" s="3" t="s">
        <v>24</v>
      </c>
      <c r="C421" s="3" t="s">
        <v>35</v>
      </c>
      <c r="D421" s="3" t="s">
        <v>36</v>
      </c>
      <c r="E421" s="3" t="s">
        <v>30</v>
      </c>
      <c r="F421" s="3" t="s">
        <v>37</v>
      </c>
      <c r="G421" s="3">
        <v>2016</v>
      </c>
      <c r="H421" s="3" t="str">
        <f>CONCATENATE("64240646584")</f>
        <v>64240646584</v>
      </c>
      <c r="I421" s="3" t="s">
        <v>25</v>
      </c>
      <c r="J421" s="3" t="s">
        <v>26</v>
      </c>
      <c r="K421" s="3" t="str">
        <f t="shared" si="17"/>
        <v/>
      </c>
      <c r="L421" s="3" t="str">
        <f>CONCATENATE("10 10.1 4b")</f>
        <v>10 10.1 4b</v>
      </c>
      <c r="M421" s="3" t="str">
        <f>CONCATENATE("NGLMRA36C10F599O")</f>
        <v>NGLMRA36C10F599O</v>
      </c>
      <c r="N421" s="3" t="s">
        <v>532</v>
      </c>
      <c r="O421" s="3"/>
      <c r="P421" s="4">
        <v>42783</v>
      </c>
      <c r="Q421" s="3" t="s">
        <v>27</v>
      </c>
      <c r="R421" s="3" t="s">
        <v>28</v>
      </c>
      <c r="S421" s="3" t="s">
        <v>29</v>
      </c>
      <c r="T421" s="5">
        <v>3880.82</v>
      </c>
      <c r="U421" s="5">
        <v>1673.41</v>
      </c>
      <c r="V421" s="5">
        <v>1545.34</v>
      </c>
      <c r="W421" s="3">
        <v>662.07</v>
      </c>
    </row>
    <row r="422" spans="1:23" ht="60.75">
      <c r="A422" s="3" t="s">
        <v>23</v>
      </c>
      <c r="B422" s="3" t="s">
        <v>24</v>
      </c>
      <c r="C422" s="3" t="s">
        <v>35</v>
      </c>
      <c r="D422" s="3" t="s">
        <v>39</v>
      </c>
      <c r="E422" s="3" t="s">
        <v>30</v>
      </c>
      <c r="F422" s="3" t="s">
        <v>533</v>
      </c>
      <c r="G422" s="3">
        <v>2016</v>
      </c>
      <c r="H422" s="3" t="str">
        <f>CONCATENATE("64210921330")</f>
        <v>64210921330</v>
      </c>
      <c r="I422" s="3" t="s">
        <v>25</v>
      </c>
      <c r="J422" s="3" t="s">
        <v>26</v>
      </c>
      <c r="K422" s="3" t="str">
        <f t="shared" si="17"/>
        <v/>
      </c>
      <c r="L422" s="3" t="str">
        <f>CONCATENATE("13 13.1 4a")</f>
        <v>13 13.1 4a</v>
      </c>
      <c r="M422" s="3" t="str">
        <f>CONCATENATE("CLMMRA30E55I461H")</f>
        <v>CLMMRA30E55I461H</v>
      </c>
      <c r="N422" s="3" t="s">
        <v>534</v>
      </c>
      <c r="O422" s="3"/>
      <c r="P422" s="4">
        <v>42783</v>
      </c>
      <c r="Q422" s="3" t="s">
        <v>27</v>
      </c>
      <c r="R422" s="3" t="s">
        <v>28</v>
      </c>
      <c r="S422" s="3" t="s">
        <v>29</v>
      </c>
      <c r="T422" s="5">
        <v>2966.46</v>
      </c>
      <c r="U422" s="5">
        <v>1279.1400000000001</v>
      </c>
      <c r="V422" s="5">
        <v>1181.24</v>
      </c>
      <c r="W422" s="3">
        <v>506.08</v>
      </c>
    </row>
    <row r="423" spans="1:23" ht="60.75">
      <c r="A423" s="3" t="s">
        <v>23</v>
      </c>
      <c r="B423" s="3" t="s">
        <v>24</v>
      </c>
      <c r="C423" s="3" t="s">
        <v>35</v>
      </c>
      <c r="D423" s="3" t="s">
        <v>36</v>
      </c>
      <c r="E423" s="3" t="s">
        <v>30</v>
      </c>
      <c r="F423" s="3" t="s">
        <v>37</v>
      </c>
      <c r="G423" s="3">
        <v>2016</v>
      </c>
      <c r="H423" s="3" t="str">
        <f>CONCATENATE("64240559738")</f>
        <v>64240559738</v>
      </c>
      <c r="I423" s="3" t="s">
        <v>25</v>
      </c>
      <c r="J423" s="3" t="s">
        <v>26</v>
      </c>
      <c r="K423" s="3" t="str">
        <f t="shared" si="17"/>
        <v/>
      </c>
      <c r="L423" s="3" t="str">
        <f>CONCATENATE("11 11.2 4b")</f>
        <v>11 11.2 4b</v>
      </c>
      <c r="M423" s="3" t="str">
        <f>CONCATENATE("VLLRSO35B43C321Y")</f>
        <v>VLLRSO35B43C321Y</v>
      </c>
      <c r="N423" s="3" t="s">
        <v>535</v>
      </c>
      <c r="O423" s="3"/>
      <c r="P423" s="4">
        <v>42783</v>
      </c>
      <c r="Q423" s="3" t="s">
        <v>27</v>
      </c>
      <c r="R423" s="3" t="s">
        <v>28</v>
      </c>
      <c r="S423" s="3" t="s">
        <v>29</v>
      </c>
      <c r="T423" s="5">
        <v>7894.4</v>
      </c>
      <c r="U423" s="5">
        <v>3404.07</v>
      </c>
      <c r="V423" s="5">
        <v>3143.55</v>
      </c>
      <c r="W423" s="5">
        <v>1346.78</v>
      </c>
    </row>
    <row r="424" spans="1:23" ht="60.75">
      <c r="A424" s="3" t="s">
        <v>23</v>
      </c>
      <c r="B424" s="3" t="s">
        <v>24</v>
      </c>
      <c r="C424" s="3" t="s">
        <v>35</v>
      </c>
      <c r="D424" s="3" t="s">
        <v>48</v>
      </c>
      <c r="E424" s="3" t="s">
        <v>49</v>
      </c>
      <c r="F424" s="3" t="s">
        <v>80</v>
      </c>
      <c r="G424" s="3">
        <v>2016</v>
      </c>
      <c r="H424" s="3" t="str">
        <f>CONCATENATE("64210653099")</f>
        <v>64210653099</v>
      </c>
      <c r="I424" s="3" t="s">
        <v>25</v>
      </c>
      <c r="J424" s="3" t="s">
        <v>26</v>
      </c>
      <c r="K424" s="3" t="str">
        <f t="shared" si="17"/>
        <v/>
      </c>
      <c r="L424" s="3" t="str">
        <f>CONCATENATE("13 13.1 4a")</f>
        <v>13 13.1 4a</v>
      </c>
      <c r="M424" s="3" t="str">
        <f>CONCATENATE("CNTDNL57D44B474C")</f>
        <v>CNTDNL57D44B474C</v>
      </c>
      <c r="N424" s="3" t="s">
        <v>537</v>
      </c>
      <c r="O424" s="3"/>
      <c r="P424" s="4">
        <v>42783</v>
      </c>
      <c r="Q424" s="3" t="s">
        <v>27</v>
      </c>
      <c r="R424" s="3" t="s">
        <v>28</v>
      </c>
      <c r="S424" s="3" t="s">
        <v>29</v>
      </c>
      <c r="T424" s="5">
        <v>1234.3499999999999</v>
      </c>
      <c r="U424" s="3">
        <v>532.25</v>
      </c>
      <c r="V424" s="3">
        <v>491.52</v>
      </c>
      <c r="W424" s="3">
        <v>210.58</v>
      </c>
    </row>
    <row r="425" spans="1:23" ht="60.75">
      <c r="A425" s="3" t="s">
        <v>23</v>
      </c>
      <c r="B425" s="3" t="s">
        <v>24</v>
      </c>
      <c r="C425" s="3" t="s">
        <v>35</v>
      </c>
      <c r="D425" s="3" t="s">
        <v>36</v>
      </c>
      <c r="E425" s="3" t="s">
        <v>30</v>
      </c>
      <c r="F425" s="3" t="s">
        <v>37</v>
      </c>
      <c r="G425" s="3">
        <v>2016</v>
      </c>
      <c r="H425" s="3" t="str">
        <f>CONCATENATE("64240756631")</f>
        <v>64240756631</v>
      </c>
      <c r="I425" s="3" t="s">
        <v>31</v>
      </c>
      <c r="J425" s="3" t="s">
        <v>26</v>
      </c>
      <c r="K425" s="3" t="str">
        <f t="shared" si="17"/>
        <v/>
      </c>
      <c r="L425" s="3" t="str">
        <f>CONCATENATE("11 11.2 4b")</f>
        <v>11 11.2 4b</v>
      </c>
      <c r="M425" s="3" t="str">
        <f>CONCATENATE("MRRPVN35P09F501F")</f>
        <v>MRRPVN35P09F501F</v>
      </c>
      <c r="N425" s="3" t="s">
        <v>538</v>
      </c>
      <c r="O425" s="3"/>
      <c r="P425" s="4">
        <v>42783</v>
      </c>
      <c r="Q425" s="3" t="s">
        <v>27</v>
      </c>
      <c r="R425" s="3" t="s">
        <v>28</v>
      </c>
      <c r="S425" s="3" t="s">
        <v>29</v>
      </c>
      <c r="T425" s="5">
        <v>3915.38</v>
      </c>
      <c r="U425" s="5">
        <v>1688.31</v>
      </c>
      <c r="V425" s="5">
        <v>1559.1</v>
      </c>
      <c r="W425" s="3">
        <v>667.97</v>
      </c>
    </row>
    <row r="426" spans="1:23" ht="36.75">
      <c r="A426" s="3" t="s">
        <v>23</v>
      </c>
      <c r="B426" s="3" t="s">
        <v>24</v>
      </c>
      <c r="C426" s="3" t="s">
        <v>35</v>
      </c>
      <c r="D426" s="3" t="s">
        <v>36</v>
      </c>
      <c r="E426" s="3" t="s">
        <v>34</v>
      </c>
      <c r="F426" s="3" t="s">
        <v>273</v>
      </c>
      <c r="G426" s="3">
        <v>2016</v>
      </c>
      <c r="H426" s="3" t="str">
        <f>CONCATENATE("64240852059")</f>
        <v>64240852059</v>
      </c>
      <c r="I426" s="3" t="s">
        <v>25</v>
      </c>
      <c r="J426" s="3" t="s">
        <v>26</v>
      </c>
      <c r="K426" s="3" t="str">
        <f t="shared" si="17"/>
        <v/>
      </c>
      <c r="L426" s="3" t="str">
        <f>CONCATENATE("11 11.2 4b")</f>
        <v>11 11.2 4b</v>
      </c>
      <c r="M426" s="3" t="str">
        <f>CONCATENATE("01936460441")</f>
        <v>01936460441</v>
      </c>
      <c r="N426" s="3" t="s">
        <v>539</v>
      </c>
      <c r="O426" s="3"/>
      <c r="P426" s="4">
        <v>42783</v>
      </c>
      <c r="Q426" s="3" t="s">
        <v>27</v>
      </c>
      <c r="R426" s="3" t="s">
        <v>28</v>
      </c>
      <c r="S426" s="3" t="s">
        <v>29</v>
      </c>
      <c r="T426" s="5">
        <v>8196.4699999999993</v>
      </c>
      <c r="U426" s="5">
        <v>3534.32</v>
      </c>
      <c r="V426" s="5">
        <v>3263.83</v>
      </c>
      <c r="W426" s="5">
        <v>1398.32</v>
      </c>
    </row>
    <row r="427" spans="1:23" ht="60.75">
      <c r="A427" s="3" t="s">
        <v>23</v>
      </c>
      <c r="B427" s="3" t="s">
        <v>24</v>
      </c>
      <c r="C427" s="3" t="s">
        <v>35</v>
      </c>
      <c r="D427" s="3" t="s">
        <v>36</v>
      </c>
      <c r="E427" s="3" t="s">
        <v>30</v>
      </c>
      <c r="F427" s="3" t="s">
        <v>323</v>
      </c>
      <c r="G427" s="3">
        <v>2016</v>
      </c>
      <c r="H427" s="3" t="str">
        <f>CONCATENATE("64240625166")</f>
        <v>64240625166</v>
      </c>
      <c r="I427" s="3" t="s">
        <v>25</v>
      </c>
      <c r="J427" s="3" t="s">
        <v>26</v>
      </c>
      <c r="K427" s="3" t="str">
        <f t="shared" si="17"/>
        <v/>
      </c>
      <c r="L427" s="3" t="str">
        <f>CONCATENATE("11 11.1 4b")</f>
        <v>11 11.1 4b</v>
      </c>
      <c r="M427" s="3" t="str">
        <f>CONCATENATE("LNDLRT89C10H769S")</f>
        <v>LNDLRT89C10H769S</v>
      </c>
      <c r="N427" s="3" t="s">
        <v>540</v>
      </c>
      <c r="O427" s="3"/>
      <c r="P427" s="4">
        <v>42783</v>
      </c>
      <c r="Q427" s="3" t="s">
        <v>27</v>
      </c>
      <c r="R427" s="3" t="s">
        <v>28</v>
      </c>
      <c r="S427" s="3" t="s">
        <v>29</v>
      </c>
      <c r="T427" s="5">
        <v>9612.5</v>
      </c>
      <c r="U427" s="5">
        <v>4144.91</v>
      </c>
      <c r="V427" s="5">
        <v>3827.7</v>
      </c>
      <c r="W427" s="5">
        <v>1639.89</v>
      </c>
    </row>
    <row r="428" spans="1:23" ht="60.75">
      <c r="A428" s="3" t="s">
        <v>23</v>
      </c>
      <c r="B428" s="3" t="s">
        <v>24</v>
      </c>
      <c r="C428" s="3" t="s">
        <v>35</v>
      </c>
      <c r="D428" s="3" t="s">
        <v>48</v>
      </c>
      <c r="E428" s="3" t="s">
        <v>30</v>
      </c>
      <c r="F428" s="3" t="s">
        <v>157</v>
      </c>
      <c r="G428" s="3">
        <v>2016</v>
      </c>
      <c r="H428" s="3" t="str">
        <f>CONCATENATE("64240462792")</f>
        <v>64240462792</v>
      </c>
      <c r="I428" s="3" t="s">
        <v>25</v>
      </c>
      <c r="J428" s="3" t="s">
        <v>26</v>
      </c>
      <c r="K428" s="3" t="str">
        <f t="shared" si="17"/>
        <v/>
      </c>
      <c r="L428" s="3" t="str">
        <f>CONCATENATE("11 11.2 4b")</f>
        <v>11 11.2 4b</v>
      </c>
      <c r="M428" s="3" t="str">
        <f>CONCATENATE("MRZFNC54M08F622K")</f>
        <v>MRZFNC54M08F622K</v>
      </c>
      <c r="N428" s="3" t="s">
        <v>541</v>
      </c>
      <c r="O428" s="3"/>
      <c r="P428" s="4">
        <v>42783</v>
      </c>
      <c r="Q428" s="3" t="s">
        <v>27</v>
      </c>
      <c r="R428" s="3" t="s">
        <v>28</v>
      </c>
      <c r="S428" s="3" t="s">
        <v>29</v>
      </c>
      <c r="T428" s="3">
        <v>101.3</v>
      </c>
      <c r="U428" s="3">
        <v>43.68</v>
      </c>
      <c r="V428" s="3">
        <v>40.340000000000003</v>
      </c>
      <c r="W428" s="3">
        <v>17.28</v>
      </c>
    </row>
    <row r="429" spans="1:23" ht="60.75">
      <c r="A429" s="3" t="s">
        <v>23</v>
      </c>
      <c r="B429" s="3" t="s">
        <v>24</v>
      </c>
      <c r="C429" s="3" t="s">
        <v>35</v>
      </c>
      <c r="D429" s="3" t="s">
        <v>39</v>
      </c>
      <c r="E429" s="3" t="s">
        <v>32</v>
      </c>
      <c r="F429" s="3" t="s">
        <v>215</v>
      </c>
      <c r="G429" s="3">
        <v>2016</v>
      </c>
      <c r="H429" s="3" t="str">
        <f>CONCATENATE("64240267100")</f>
        <v>64240267100</v>
      </c>
      <c r="I429" s="3" t="s">
        <v>25</v>
      </c>
      <c r="J429" s="3" t="s">
        <v>26</v>
      </c>
      <c r="K429" s="3" t="str">
        <f t="shared" si="17"/>
        <v/>
      </c>
      <c r="L429" s="3" t="str">
        <f>CONCATENATE("10 10.1 4a")</f>
        <v>10 10.1 4a</v>
      </c>
      <c r="M429" s="3" t="str">
        <f>CONCATENATE("FRTLRT54E03C248P")</f>
        <v>FRTLRT54E03C248P</v>
      </c>
      <c r="N429" s="3" t="s">
        <v>542</v>
      </c>
      <c r="O429" s="3"/>
      <c r="P429" s="4">
        <v>42783</v>
      </c>
      <c r="Q429" s="3" t="s">
        <v>27</v>
      </c>
      <c r="R429" s="3" t="s">
        <v>28</v>
      </c>
      <c r="S429" s="3" t="s">
        <v>29</v>
      </c>
      <c r="T429" s="3">
        <v>432.36</v>
      </c>
      <c r="U429" s="3">
        <v>186.43</v>
      </c>
      <c r="V429" s="3">
        <v>172.17</v>
      </c>
      <c r="W429" s="3">
        <v>73.760000000000005</v>
      </c>
    </row>
    <row r="430" spans="1:23" ht="36.75">
      <c r="A430" s="3" t="s">
        <v>23</v>
      </c>
      <c r="B430" s="3" t="s">
        <v>24</v>
      </c>
      <c r="C430" s="3" t="s">
        <v>35</v>
      </c>
      <c r="D430" s="3" t="s">
        <v>39</v>
      </c>
      <c r="E430" s="3" t="s">
        <v>32</v>
      </c>
      <c r="F430" s="3" t="s">
        <v>215</v>
      </c>
      <c r="G430" s="3">
        <v>2016</v>
      </c>
      <c r="H430" s="3" t="str">
        <f>CONCATENATE("64240350237")</f>
        <v>64240350237</v>
      </c>
      <c r="I430" s="3" t="s">
        <v>25</v>
      </c>
      <c r="J430" s="3" t="s">
        <v>26</v>
      </c>
      <c r="K430" s="3" t="str">
        <f t="shared" ref="K430:K493" si="19">CONCATENATE("")</f>
        <v/>
      </c>
      <c r="L430" s="3" t="str">
        <f>CONCATENATE("11 11.2 4b")</f>
        <v>11 11.2 4b</v>
      </c>
      <c r="M430" s="3" t="str">
        <f>CONCATENATE("02427770421")</f>
        <v>02427770421</v>
      </c>
      <c r="N430" s="3" t="s">
        <v>543</v>
      </c>
      <c r="O430" s="3"/>
      <c r="P430" s="4">
        <v>42783</v>
      </c>
      <c r="Q430" s="3" t="s">
        <v>27</v>
      </c>
      <c r="R430" s="3" t="s">
        <v>28</v>
      </c>
      <c r="S430" s="3" t="s">
        <v>29</v>
      </c>
      <c r="T430" s="5">
        <v>10126.02</v>
      </c>
      <c r="U430" s="5">
        <v>4366.34</v>
      </c>
      <c r="V430" s="5">
        <v>4032.18</v>
      </c>
      <c r="W430" s="5">
        <v>1727.5</v>
      </c>
    </row>
    <row r="431" spans="1:23" ht="72.75">
      <c r="A431" s="3" t="s">
        <v>23</v>
      </c>
      <c r="B431" s="3" t="s">
        <v>24</v>
      </c>
      <c r="C431" s="3" t="s">
        <v>35</v>
      </c>
      <c r="D431" s="3" t="s">
        <v>39</v>
      </c>
      <c r="E431" s="3" t="s">
        <v>30</v>
      </c>
      <c r="F431" s="3" t="s">
        <v>84</v>
      </c>
      <c r="G431" s="3">
        <v>2016</v>
      </c>
      <c r="H431" s="3" t="str">
        <f>CONCATENATE("64210802449")</f>
        <v>64210802449</v>
      </c>
      <c r="I431" s="3" t="s">
        <v>25</v>
      </c>
      <c r="J431" s="3" t="s">
        <v>26</v>
      </c>
      <c r="K431" s="3" t="str">
        <f t="shared" si="19"/>
        <v/>
      </c>
      <c r="L431" s="3" t="str">
        <f>CONCATENATE("13 13.1 4a")</f>
        <v>13 13.1 4a</v>
      </c>
      <c r="M431" s="3" t="str">
        <f>CONCATENATE("MRNLRD69A12D451V")</f>
        <v>MRNLRD69A12D451V</v>
      </c>
      <c r="N431" s="3" t="s">
        <v>544</v>
      </c>
      <c r="O431" s="3"/>
      <c r="P431" s="4">
        <v>42783</v>
      </c>
      <c r="Q431" s="3" t="s">
        <v>27</v>
      </c>
      <c r="R431" s="3" t="s">
        <v>28</v>
      </c>
      <c r="S431" s="3" t="s">
        <v>29</v>
      </c>
      <c r="T431" s="5">
        <v>1902.73</v>
      </c>
      <c r="U431" s="3">
        <v>820.46</v>
      </c>
      <c r="V431" s="3">
        <v>757.67</v>
      </c>
      <c r="W431" s="3">
        <v>324.60000000000002</v>
      </c>
    </row>
    <row r="432" spans="1:23" ht="60.75">
      <c r="A432" s="3" t="s">
        <v>23</v>
      </c>
      <c r="B432" s="3" t="s">
        <v>24</v>
      </c>
      <c r="C432" s="3" t="s">
        <v>35</v>
      </c>
      <c r="D432" s="3" t="s">
        <v>36</v>
      </c>
      <c r="E432" s="3" t="s">
        <v>42</v>
      </c>
      <c r="F432" s="3" t="s">
        <v>42</v>
      </c>
      <c r="G432" s="3">
        <v>2016</v>
      </c>
      <c r="H432" s="3" t="str">
        <f>CONCATENATE("64240314910")</f>
        <v>64240314910</v>
      </c>
      <c r="I432" s="3" t="s">
        <v>25</v>
      </c>
      <c r="J432" s="3" t="s">
        <v>26</v>
      </c>
      <c r="K432" s="3" t="str">
        <f t="shared" si="19"/>
        <v/>
      </c>
      <c r="L432" s="3" t="str">
        <f>CONCATENATE("11 11.2 4b")</f>
        <v>11 11.2 4b</v>
      </c>
      <c r="M432" s="3" t="str">
        <f>CONCATENATE("FLZRST36B22D096N")</f>
        <v>FLZRST36B22D096N</v>
      </c>
      <c r="N432" s="3" t="s">
        <v>545</v>
      </c>
      <c r="O432" s="3"/>
      <c r="P432" s="4">
        <v>42783</v>
      </c>
      <c r="Q432" s="3" t="s">
        <v>27</v>
      </c>
      <c r="R432" s="3" t="s">
        <v>28</v>
      </c>
      <c r="S432" s="3" t="s">
        <v>29</v>
      </c>
      <c r="T432" s="5">
        <v>2873.28</v>
      </c>
      <c r="U432" s="5">
        <v>1238.96</v>
      </c>
      <c r="V432" s="5">
        <v>1144.1400000000001</v>
      </c>
      <c r="W432" s="3">
        <v>490.18</v>
      </c>
    </row>
    <row r="433" spans="1:23" ht="60.75">
      <c r="A433" s="3" t="s">
        <v>23</v>
      </c>
      <c r="B433" s="3" t="s">
        <v>24</v>
      </c>
      <c r="C433" s="3" t="s">
        <v>35</v>
      </c>
      <c r="D433" s="3" t="s">
        <v>39</v>
      </c>
      <c r="E433" s="3" t="s">
        <v>30</v>
      </c>
      <c r="F433" s="3" t="s">
        <v>84</v>
      </c>
      <c r="G433" s="3">
        <v>2016</v>
      </c>
      <c r="H433" s="3" t="str">
        <f>CONCATENATE("64210741787")</f>
        <v>64210741787</v>
      </c>
      <c r="I433" s="3" t="s">
        <v>25</v>
      </c>
      <c r="J433" s="3" t="s">
        <v>26</v>
      </c>
      <c r="K433" s="3" t="str">
        <f t="shared" si="19"/>
        <v/>
      </c>
      <c r="L433" s="3" t="str">
        <f>CONCATENATE("13 13.1 4a")</f>
        <v>13 13.1 4a</v>
      </c>
      <c r="M433" s="3" t="str">
        <f>CONCATENATE("BRBFRZ63T27D451T")</f>
        <v>BRBFRZ63T27D451T</v>
      </c>
      <c r="N433" s="3" t="s">
        <v>546</v>
      </c>
      <c r="O433" s="3"/>
      <c r="P433" s="4">
        <v>42783</v>
      </c>
      <c r="Q433" s="3" t="s">
        <v>27</v>
      </c>
      <c r="R433" s="3" t="s">
        <v>28</v>
      </c>
      <c r="S433" s="3" t="s">
        <v>29</v>
      </c>
      <c r="T433" s="5">
        <v>4590</v>
      </c>
      <c r="U433" s="5">
        <v>1979.21</v>
      </c>
      <c r="V433" s="5">
        <v>1827.74</v>
      </c>
      <c r="W433" s="3">
        <v>783.05</v>
      </c>
    </row>
    <row r="434" spans="1:23" ht="60.75">
      <c r="A434" s="3" t="s">
        <v>23</v>
      </c>
      <c r="B434" s="3" t="s">
        <v>24</v>
      </c>
      <c r="C434" s="3" t="s">
        <v>35</v>
      </c>
      <c r="D434" s="3" t="s">
        <v>43</v>
      </c>
      <c r="E434" s="3" t="s">
        <v>42</v>
      </c>
      <c r="F434" s="3" t="s">
        <v>42</v>
      </c>
      <c r="G434" s="3">
        <v>2016</v>
      </c>
      <c r="H434" s="3" t="str">
        <f>CONCATENATE("64240281671")</f>
        <v>64240281671</v>
      </c>
      <c r="I434" s="3" t="s">
        <v>25</v>
      </c>
      <c r="J434" s="3" t="s">
        <v>26</v>
      </c>
      <c r="K434" s="3" t="str">
        <f t="shared" si="19"/>
        <v/>
      </c>
      <c r="L434" s="3" t="str">
        <f>CONCATENATE("11 11.2 4b")</f>
        <v>11 11.2 4b</v>
      </c>
      <c r="M434" s="3" t="str">
        <f>CONCATENATE("MRNFNC68C21I459Z")</f>
        <v>MRNFNC68C21I459Z</v>
      </c>
      <c r="N434" s="3" t="s">
        <v>547</v>
      </c>
      <c r="O434" s="3"/>
      <c r="P434" s="4">
        <v>42783</v>
      </c>
      <c r="Q434" s="3" t="s">
        <v>27</v>
      </c>
      <c r="R434" s="3" t="s">
        <v>28</v>
      </c>
      <c r="S434" s="3" t="s">
        <v>29</v>
      </c>
      <c r="T434" s="5">
        <v>3915.15</v>
      </c>
      <c r="U434" s="5">
        <v>1688.21</v>
      </c>
      <c r="V434" s="5">
        <v>1559.01</v>
      </c>
      <c r="W434" s="3">
        <v>667.93</v>
      </c>
    </row>
    <row r="435" spans="1:23" ht="60.75">
      <c r="A435" s="3" t="s">
        <v>23</v>
      </c>
      <c r="B435" s="3" t="s">
        <v>24</v>
      </c>
      <c r="C435" s="3" t="s">
        <v>35</v>
      </c>
      <c r="D435" s="3" t="s">
        <v>36</v>
      </c>
      <c r="E435" s="3" t="s">
        <v>30</v>
      </c>
      <c r="F435" s="3" t="s">
        <v>37</v>
      </c>
      <c r="G435" s="3">
        <v>2016</v>
      </c>
      <c r="H435" s="3" t="str">
        <f>CONCATENATE("64240540167")</f>
        <v>64240540167</v>
      </c>
      <c r="I435" s="3" t="s">
        <v>25</v>
      </c>
      <c r="J435" s="3" t="s">
        <v>26</v>
      </c>
      <c r="K435" s="3" t="str">
        <f t="shared" si="19"/>
        <v/>
      </c>
      <c r="L435" s="3" t="str">
        <f>CONCATENATE("10 10.1 4b")</f>
        <v>10 10.1 4b</v>
      </c>
      <c r="M435" s="3" t="str">
        <f>CONCATENATE("SBERRT65P26F415E")</f>
        <v>SBERRT65P26F415E</v>
      </c>
      <c r="N435" s="3" t="s">
        <v>548</v>
      </c>
      <c r="O435" s="3"/>
      <c r="P435" s="4">
        <v>42783</v>
      </c>
      <c r="Q435" s="3" t="s">
        <v>27</v>
      </c>
      <c r="R435" s="3" t="s">
        <v>28</v>
      </c>
      <c r="S435" s="3" t="s">
        <v>29</v>
      </c>
      <c r="T435" s="5">
        <v>5453.03</v>
      </c>
      <c r="U435" s="5">
        <v>2351.35</v>
      </c>
      <c r="V435" s="5">
        <v>2171.4</v>
      </c>
      <c r="W435" s="3">
        <v>930.28</v>
      </c>
    </row>
    <row r="436" spans="1:23" ht="36.75">
      <c r="A436" s="3" t="s">
        <v>23</v>
      </c>
      <c r="B436" s="3" t="s">
        <v>24</v>
      </c>
      <c r="C436" s="3" t="s">
        <v>35</v>
      </c>
      <c r="D436" s="3" t="s">
        <v>43</v>
      </c>
      <c r="E436" s="3" t="s">
        <v>30</v>
      </c>
      <c r="F436" s="3" t="s">
        <v>113</v>
      </c>
      <c r="G436" s="3">
        <v>2016</v>
      </c>
      <c r="H436" s="3" t="str">
        <f>CONCATENATE("64240789616")</f>
        <v>64240789616</v>
      </c>
      <c r="I436" s="3" t="s">
        <v>25</v>
      </c>
      <c r="J436" s="3" t="s">
        <v>26</v>
      </c>
      <c r="K436" s="3" t="str">
        <f t="shared" si="19"/>
        <v/>
      </c>
      <c r="L436" s="3" t="str">
        <f>CONCATENATE("11 11.1 4b")</f>
        <v>11 11.1 4b</v>
      </c>
      <c r="M436" s="3" t="str">
        <f>CONCATENATE("02012480410")</f>
        <v>02012480410</v>
      </c>
      <c r="N436" s="3" t="s">
        <v>549</v>
      </c>
      <c r="O436" s="3"/>
      <c r="P436" s="4">
        <v>42783</v>
      </c>
      <c r="Q436" s="3" t="s">
        <v>27</v>
      </c>
      <c r="R436" s="3" t="s">
        <v>28</v>
      </c>
      <c r="S436" s="3" t="s">
        <v>29</v>
      </c>
      <c r="T436" s="5">
        <v>7973.03</v>
      </c>
      <c r="U436" s="5">
        <v>3437.97</v>
      </c>
      <c r="V436" s="5">
        <v>3174.86</v>
      </c>
      <c r="W436" s="5">
        <v>1360.2</v>
      </c>
    </row>
    <row r="437" spans="1:23" ht="36.75">
      <c r="A437" s="3" t="s">
        <v>23</v>
      </c>
      <c r="B437" s="3" t="s">
        <v>24</v>
      </c>
      <c r="C437" s="3" t="s">
        <v>35</v>
      </c>
      <c r="D437" s="3" t="s">
        <v>43</v>
      </c>
      <c r="E437" s="3" t="s">
        <v>49</v>
      </c>
      <c r="F437" s="3" t="s">
        <v>276</v>
      </c>
      <c r="G437" s="3">
        <v>2016</v>
      </c>
      <c r="H437" s="3" t="str">
        <f>CONCATENATE("64240643797")</f>
        <v>64240643797</v>
      </c>
      <c r="I437" s="3" t="s">
        <v>25</v>
      </c>
      <c r="J437" s="3" t="s">
        <v>26</v>
      </c>
      <c r="K437" s="3" t="str">
        <f t="shared" si="19"/>
        <v/>
      </c>
      <c r="L437" s="3" t="str">
        <f>CONCATENATE("11 11.2 4b")</f>
        <v>11 11.2 4b</v>
      </c>
      <c r="M437" s="3" t="str">
        <f>CONCATENATE("02473150411")</f>
        <v>02473150411</v>
      </c>
      <c r="N437" s="3" t="s">
        <v>550</v>
      </c>
      <c r="O437" s="3"/>
      <c r="P437" s="4">
        <v>42783</v>
      </c>
      <c r="Q437" s="3" t="s">
        <v>27</v>
      </c>
      <c r="R437" s="3" t="s">
        <v>28</v>
      </c>
      <c r="S437" s="3" t="s">
        <v>29</v>
      </c>
      <c r="T437" s="5">
        <v>3118.77</v>
      </c>
      <c r="U437" s="5">
        <v>1344.81</v>
      </c>
      <c r="V437" s="5">
        <v>1241.8900000000001</v>
      </c>
      <c r="W437" s="3">
        <v>532.07000000000005</v>
      </c>
    </row>
    <row r="438" spans="1:23" ht="60.75">
      <c r="A438" s="3" t="s">
        <v>23</v>
      </c>
      <c r="B438" s="3" t="s">
        <v>24</v>
      </c>
      <c r="C438" s="3" t="s">
        <v>35</v>
      </c>
      <c r="D438" s="3" t="s">
        <v>39</v>
      </c>
      <c r="E438" s="3" t="s">
        <v>30</v>
      </c>
      <c r="F438" s="3" t="s">
        <v>84</v>
      </c>
      <c r="G438" s="3">
        <v>2016</v>
      </c>
      <c r="H438" s="3" t="str">
        <f>CONCATENATE("64240716908")</f>
        <v>64240716908</v>
      </c>
      <c r="I438" s="3" t="s">
        <v>25</v>
      </c>
      <c r="J438" s="3" t="s">
        <v>26</v>
      </c>
      <c r="K438" s="3" t="str">
        <f t="shared" si="19"/>
        <v/>
      </c>
      <c r="L438" s="3" t="str">
        <f>CONCATENATE("11 11.2 4b")</f>
        <v>11 11.2 4b</v>
      </c>
      <c r="M438" s="3" t="str">
        <f>CONCATENATE("PTOFNC50C24D451C")</f>
        <v>PTOFNC50C24D451C</v>
      </c>
      <c r="N438" s="3" t="s">
        <v>551</v>
      </c>
      <c r="O438" s="3"/>
      <c r="P438" s="4">
        <v>42783</v>
      </c>
      <c r="Q438" s="3" t="s">
        <v>27</v>
      </c>
      <c r="R438" s="3" t="s">
        <v>28</v>
      </c>
      <c r="S438" s="3" t="s">
        <v>29</v>
      </c>
      <c r="T438" s="5">
        <v>19168.66</v>
      </c>
      <c r="U438" s="5">
        <v>8265.5300000000007</v>
      </c>
      <c r="V438" s="5">
        <v>7632.96</v>
      </c>
      <c r="W438" s="5">
        <v>3270.17</v>
      </c>
    </row>
    <row r="439" spans="1:23" ht="36.75">
      <c r="A439" s="3" t="s">
        <v>23</v>
      </c>
      <c r="B439" s="3" t="s">
        <v>24</v>
      </c>
      <c r="C439" s="3" t="s">
        <v>35</v>
      </c>
      <c r="D439" s="3" t="s">
        <v>43</v>
      </c>
      <c r="E439" s="3" t="s">
        <v>30</v>
      </c>
      <c r="F439" s="3" t="s">
        <v>124</v>
      </c>
      <c r="G439" s="3">
        <v>2016</v>
      </c>
      <c r="H439" s="3" t="str">
        <f>CONCATENATE("64240638102")</f>
        <v>64240638102</v>
      </c>
      <c r="I439" s="3" t="s">
        <v>25</v>
      </c>
      <c r="J439" s="3" t="s">
        <v>26</v>
      </c>
      <c r="K439" s="3" t="str">
        <f t="shared" si="19"/>
        <v/>
      </c>
      <c r="L439" s="3" t="str">
        <f>CONCATENATE("11 11.2 4b")</f>
        <v>11 11.2 4b</v>
      </c>
      <c r="M439" s="3" t="str">
        <f>CONCATENATE("02276370414")</f>
        <v>02276370414</v>
      </c>
      <c r="N439" s="3" t="s">
        <v>552</v>
      </c>
      <c r="O439" s="3"/>
      <c r="P439" s="4">
        <v>42783</v>
      </c>
      <c r="Q439" s="3" t="s">
        <v>27</v>
      </c>
      <c r="R439" s="3" t="s">
        <v>28</v>
      </c>
      <c r="S439" s="3" t="s">
        <v>29</v>
      </c>
      <c r="T439" s="5">
        <v>8766.17</v>
      </c>
      <c r="U439" s="5">
        <v>3779.97</v>
      </c>
      <c r="V439" s="5">
        <v>3490.69</v>
      </c>
      <c r="W439" s="5">
        <v>1495.51</v>
      </c>
    </row>
    <row r="440" spans="1:23" ht="60.75">
      <c r="A440" s="3" t="s">
        <v>23</v>
      </c>
      <c r="B440" s="3" t="s">
        <v>24</v>
      </c>
      <c r="C440" s="3" t="s">
        <v>35</v>
      </c>
      <c r="D440" s="3" t="s">
        <v>39</v>
      </c>
      <c r="E440" s="3" t="s">
        <v>32</v>
      </c>
      <c r="F440" s="3" t="s">
        <v>69</v>
      </c>
      <c r="G440" s="3">
        <v>2016</v>
      </c>
      <c r="H440" s="3" t="str">
        <f>CONCATENATE("64240509444")</f>
        <v>64240509444</v>
      </c>
      <c r="I440" s="3" t="s">
        <v>25</v>
      </c>
      <c r="J440" s="3" t="s">
        <v>26</v>
      </c>
      <c r="K440" s="3" t="str">
        <f t="shared" si="19"/>
        <v/>
      </c>
      <c r="L440" s="3" t="str">
        <f>CONCATENATE("11 11.2 4b")</f>
        <v>11 11.2 4b</v>
      </c>
      <c r="M440" s="3" t="str">
        <f>CONCATENATE("RZZLNZ77R23E388J")</f>
        <v>RZZLNZ77R23E388J</v>
      </c>
      <c r="N440" s="3" t="s">
        <v>553</v>
      </c>
      <c r="O440" s="3"/>
      <c r="P440" s="4">
        <v>42783</v>
      </c>
      <c r="Q440" s="3" t="s">
        <v>27</v>
      </c>
      <c r="R440" s="3" t="s">
        <v>28</v>
      </c>
      <c r="S440" s="3" t="s">
        <v>29</v>
      </c>
      <c r="T440" s="5">
        <v>4340.32</v>
      </c>
      <c r="U440" s="5">
        <v>1871.55</v>
      </c>
      <c r="V440" s="5">
        <v>1728.32</v>
      </c>
      <c r="W440" s="3">
        <v>740.45</v>
      </c>
    </row>
    <row r="441" spans="1:23" ht="36.75">
      <c r="A441" s="3" t="s">
        <v>23</v>
      </c>
      <c r="B441" s="3" t="s">
        <v>24</v>
      </c>
      <c r="C441" s="3" t="s">
        <v>35</v>
      </c>
      <c r="D441" s="3" t="s">
        <v>43</v>
      </c>
      <c r="E441" s="3" t="s">
        <v>30</v>
      </c>
      <c r="F441" s="3" t="s">
        <v>113</v>
      </c>
      <c r="G441" s="3">
        <v>2016</v>
      </c>
      <c r="H441" s="3" t="str">
        <f>CONCATENATE("64210625568")</f>
        <v>64210625568</v>
      </c>
      <c r="I441" s="3" t="s">
        <v>25</v>
      </c>
      <c r="J441" s="3" t="s">
        <v>26</v>
      </c>
      <c r="K441" s="3" t="str">
        <f t="shared" si="19"/>
        <v/>
      </c>
      <c r="L441" s="3" t="str">
        <f>CONCATENATE("13 13.1 4a")</f>
        <v>13 13.1 4a</v>
      </c>
      <c r="M441" s="3" t="str">
        <f>CONCATENATE("01192780417")</f>
        <v>01192780417</v>
      </c>
      <c r="N441" s="3" t="s">
        <v>554</v>
      </c>
      <c r="O441" s="3"/>
      <c r="P441" s="4">
        <v>42783</v>
      </c>
      <c r="Q441" s="3" t="s">
        <v>27</v>
      </c>
      <c r="R441" s="3" t="s">
        <v>28</v>
      </c>
      <c r="S441" s="3" t="s">
        <v>29</v>
      </c>
      <c r="T441" s="5">
        <v>4195.1099999999997</v>
      </c>
      <c r="U441" s="5">
        <v>1808.93</v>
      </c>
      <c r="V441" s="5">
        <v>1670.49</v>
      </c>
      <c r="W441" s="3">
        <v>715.69</v>
      </c>
    </row>
    <row r="442" spans="1:23" ht="72.75">
      <c r="A442" s="3" t="s">
        <v>23</v>
      </c>
      <c r="B442" s="3" t="s">
        <v>24</v>
      </c>
      <c r="C442" s="3" t="s">
        <v>35</v>
      </c>
      <c r="D442" s="3" t="s">
        <v>36</v>
      </c>
      <c r="E442" s="3" t="s">
        <v>30</v>
      </c>
      <c r="F442" s="3" t="s">
        <v>86</v>
      </c>
      <c r="G442" s="3">
        <v>2016</v>
      </c>
      <c r="H442" s="3" t="str">
        <f>CONCATENATE("64210722415")</f>
        <v>64210722415</v>
      </c>
      <c r="I442" s="3" t="s">
        <v>25</v>
      </c>
      <c r="J442" s="3" t="s">
        <v>26</v>
      </c>
      <c r="K442" s="3" t="str">
        <f t="shared" si="19"/>
        <v/>
      </c>
      <c r="L442" s="3" t="str">
        <f>CONCATENATE("13 13.1 4a")</f>
        <v>13 13.1 4a</v>
      </c>
      <c r="M442" s="3" t="str">
        <f>CONCATENATE("FRRPLN62A65A044R")</f>
        <v>FRRPLN62A65A044R</v>
      </c>
      <c r="N442" s="3" t="s">
        <v>555</v>
      </c>
      <c r="O442" s="3"/>
      <c r="P442" s="4">
        <v>42783</v>
      </c>
      <c r="Q442" s="3" t="s">
        <v>27</v>
      </c>
      <c r="R442" s="3" t="s">
        <v>28</v>
      </c>
      <c r="S442" s="3" t="s">
        <v>29</v>
      </c>
      <c r="T442" s="5">
        <v>1005.19</v>
      </c>
      <c r="U442" s="3">
        <v>433.44</v>
      </c>
      <c r="V442" s="3">
        <v>400.27</v>
      </c>
      <c r="W442" s="3">
        <v>171.48</v>
      </c>
    </row>
    <row r="443" spans="1:23" ht="36.75">
      <c r="A443" s="3" t="s">
        <v>23</v>
      </c>
      <c r="B443" s="3" t="s">
        <v>24</v>
      </c>
      <c r="C443" s="3" t="s">
        <v>35</v>
      </c>
      <c r="D443" s="3" t="s">
        <v>48</v>
      </c>
      <c r="E443" s="3" t="s">
        <v>30</v>
      </c>
      <c r="F443" s="3" t="s">
        <v>91</v>
      </c>
      <c r="G443" s="3">
        <v>2016</v>
      </c>
      <c r="H443" s="3" t="str">
        <f>CONCATENATE("64210563116")</f>
        <v>64210563116</v>
      </c>
      <c r="I443" s="3" t="s">
        <v>25</v>
      </c>
      <c r="J443" s="3" t="s">
        <v>26</v>
      </c>
      <c r="K443" s="3" t="str">
        <f t="shared" si="19"/>
        <v/>
      </c>
      <c r="L443" s="3" t="str">
        <f>CONCATENATE("13 13.1 4a")</f>
        <v>13 13.1 4a</v>
      </c>
      <c r="M443" s="3" t="str">
        <f>CONCATENATE("00395750433")</f>
        <v>00395750433</v>
      </c>
      <c r="N443" s="3" t="s">
        <v>556</v>
      </c>
      <c r="O443" s="3"/>
      <c r="P443" s="4">
        <v>42783</v>
      </c>
      <c r="Q443" s="3" t="s">
        <v>27</v>
      </c>
      <c r="R443" s="3" t="s">
        <v>28</v>
      </c>
      <c r="S443" s="3" t="s">
        <v>29</v>
      </c>
      <c r="T443" s="5">
        <v>4590</v>
      </c>
      <c r="U443" s="5">
        <v>1979.21</v>
      </c>
      <c r="V443" s="5">
        <v>1827.74</v>
      </c>
      <c r="W443" s="3">
        <v>783.05</v>
      </c>
    </row>
    <row r="444" spans="1:23" ht="60.75">
      <c r="A444" s="3" t="s">
        <v>23</v>
      </c>
      <c r="B444" s="3" t="s">
        <v>24</v>
      </c>
      <c r="C444" s="3" t="s">
        <v>35</v>
      </c>
      <c r="D444" s="3" t="s">
        <v>36</v>
      </c>
      <c r="E444" s="3" t="s">
        <v>42</v>
      </c>
      <c r="F444" s="3" t="s">
        <v>42</v>
      </c>
      <c r="G444" s="3">
        <v>2016</v>
      </c>
      <c r="H444" s="3" t="str">
        <f>CONCATENATE("64240083697")</f>
        <v>64240083697</v>
      </c>
      <c r="I444" s="3" t="s">
        <v>25</v>
      </c>
      <c r="J444" s="3" t="s">
        <v>26</v>
      </c>
      <c r="K444" s="3" t="str">
        <f t="shared" si="19"/>
        <v/>
      </c>
      <c r="L444" s="3" t="str">
        <f>CONCATENATE("11 11.2 4b")</f>
        <v>11 11.2 4b</v>
      </c>
      <c r="M444" s="3" t="str">
        <f>CONCATENATE("RSSPRN56H29G005X")</f>
        <v>RSSPRN56H29G005X</v>
      </c>
      <c r="N444" s="3" t="s">
        <v>557</v>
      </c>
      <c r="O444" s="3"/>
      <c r="P444" s="4">
        <v>42783</v>
      </c>
      <c r="Q444" s="3" t="s">
        <v>27</v>
      </c>
      <c r="R444" s="3" t="s">
        <v>28</v>
      </c>
      <c r="S444" s="3" t="s">
        <v>29</v>
      </c>
      <c r="T444" s="5">
        <v>4967.5600000000004</v>
      </c>
      <c r="U444" s="5">
        <v>2142.0100000000002</v>
      </c>
      <c r="V444" s="5">
        <v>1978.08</v>
      </c>
      <c r="W444" s="3">
        <v>847.47</v>
      </c>
    </row>
    <row r="445" spans="1:23" ht="60.75">
      <c r="A445" s="3" t="s">
        <v>23</v>
      </c>
      <c r="B445" s="3" t="s">
        <v>24</v>
      </c>
      <c r="C445" s="3" t="s">
        <v>35</v>
      </c>
      <c r="D445" s="3" t="s">
        <v>48</v>
      </c>
      <c r="E445" s="3" t="s">
        <v>34</v>
      </c>
      <c r="F445" s="3" t="s">
        <v>141</v>
      </c>
      <c r="G445" s="3">
        <v>2016</v>
      </c>
      <c r="H445" s="3" t="str">
        <f>CONCATENATE("64240482246")</f>
        <v>64240482246</v>
      </c>
      <c r="I445" s="3" t="s">
        <v>25</v>
      </c>
      <c r="J445" s="3" t="s">
        <v>26</v>
      </c>
      <c r="K445" s="3" t="str">
        <f t="shared" si="19"/>
        <v/>
      </c>
      <c r="L445" s="3" t="str">
        <f>CONCATENATE("11 11.1 4b")</f>
        <v>11 11.1 4b</v>
      </c>
      <c r="M445" s="3" t="str">
        <f>CONCATENATE("DDNCTA63L68C770Q")</f>
        <v>DDNCTA63L68C770Q</v>
      </c>
      <c r="N445" s="3" t="s">
        <v>558</v>
      </c>
      <c r="O445" s="3"/>
      <c r="P445" s="4">
        <v>42783</v>
      </c>
      <c r="Q445" s="3" t="s">
        <v>27</v>
      </c>
      <c r="R445" s="3" t="s">
        <v>28</v>
      </c>
      <c r="S445" s="3" t="s">
        <v>29</v>
      </c>
      <c r="T445" s="5">
        <v>3618.09</v>
      </c>
      <c r="U445" s="5">
        <v>1560.12</v>
      </c>
      <c r="V445" s="5">
        <v>1440.72</v>
      </c>
      <c r="W445" s="3">
        <v>617.25</v>
      </c>
    </row>
    <row r="446" spans="1:23" ht="72.75">
      <c r="A446" s="3" t="s">
        <v>23</v>
      </c>
      <c r="B446" s="3" t="s">
        <v>24</v>
      </c>
      <c r="C446" s="3" t="s">
        <v>35</v>
      </c>
      <c r="D446" s="3" t="s">
        <v>43</v>
      </c>
      <c r="E446" s="3" t="s">
        <v>30</v>
      </c>
      <c r="F446" s="3" t="s">
        <v>199</v>
      </c>
      <c r="G446" s="3">
        <v>2016</v>
      </c>
      <c r="H446" s="3" t="str">
        <f>CONCATENATE("64240723821")</f>
        <v>64240723821</v>
      </c>
      <c r="I446" s="3" t="s">
        <v>25</v>
      </c>
      <c r="J446" s="3" t="s">
        <v>26</v>
      </c>
      <c r="K446" s="3" t="str">
        <f t="shared" si="19"/>
        <v/>
      </c>
      <c r="L446" s="3" t="str">
        <f>CONCATENATE("11 11.1 4b")</f>
        <v>11 11.1 4b</v>
      </c>
      <c r="M446" s="3" t="str">
        <f>CONCATENATE("PTRMRZ43B12G479G")</f>
        <v>PTRMRZ43B12G479G</v>
      </c>
      <c r="N446" s="3" t="s">
        <v>559</v>
      </c>
      <c r="O446" s="3"/>
      <c r="P446" s="4">
        <v>42783</v>
      </c>
      <c r="Q446" s="3" t="s">
        <v>27</v>
      </c>
      <c r="R446" s="3" t="s">
        <v>28</v>
      </c>
      <c r="S446" s="3" t="s">
        <v>29</v>
      </c>
      <c r="T446" s="5">
        <v>4955.72</v>
      </c>
      <c r="U446" s="5">
        <v>2136.91</v>
      </c>
      <c r="V446" s="5">
        <v>1973.37</v>
      </c>
      <c r="W446" s="3">
        <v>845.44</v>
      </c>
    </row>
    <row r="447" spans="1:23" ht="60.75">
      <c r="A447" s="3" t="s">
        <v>23</v>
      </c>
      <c r="B447" s="3" t="s">
        <v>24</v>
      </c>
      <c r="C447" s="3" t="s">
        <v>35</v>
      </c>
      <c r="D447" s="3" t="s">
        <v>36</v>
      </c>
      <c r="E447" s="3" t="s">
        <v>30</v>
      </c>
      <c r="F447" s="3" t="s">
        <v>37</v>
      </c>
      <c r="G447" s="3">
        <v>2016</v>
      </c>
      <c r="H447" s="3" t="str">
        <f>CONCATENATE("64240617460")</f>
        <v>64240617460</v>
      </c>
      <c r="I447" s="3" t="s">
        <v>25</v>
      </c>
      <c r="J447" s="3" t="s">
        <v>26</v>
      </c>
      <c r="K447" s="3" t="str">
        <f t="shared" si="19"/>
        <v/>
      </c>
      <c r="L447" s="3" t="str">
        <f>CONCATENATE("11 11.2 4b")</f>
        <v>11 11.2 4b</v>
      </c>
      <c r="M447" s="3" t="str">
        <f>CONCATENATE("SGLTMS65L14G516Q")</f>
        <v>SGLTMS65L14G516Q</v>
      </c>
      <c r="N447" s="3" t="s">
        <v>560</v>
      </c>
      <c r="O447" s="3"/>
      <c r="P447" s="4">
        <v>42783</v>
      </c>
      <c r="Q447" s="3" t="s">
        <v>27</v>
      </c>
      <c r="R447" s="3" t="s">
        <v>28</v>
      </c>
      <c r="S447" s="3" t="s">
        <v>29</v>
      </c>
      <c r="T447" s="5">
        <v>6310.32</v>
      </c>
      <c r="U447" s="5">
        <v>2721.01</v>
      </c>
      <c r="V447" s="5">
        <v>2512.77</v>
      </c>
      <c r="W447" s="5">
        <v>1076.54</v>
      </c>
    </row>
    <row r="448" spans="1:23" ht="60.75">
      <c r="A448" s="3" t="s">
        <v>23</v>
      </c>
      <c r="B448" s="3" t="s">
        <v>24</v>
      </c>
      <c r="C448" s="3" t="s">
        <v>35</v>
      </c>
      <c r="D448" s="3" t="s">
        <v>48</v>
      </c>
      <c r="E448" s="3" t="s">
        <v>49</v>
      </c>
      <c r="F448" s="3" t="s">
        <v>80</v>
      </c>
      <c r="G448" s="3">
        <v>2016</v>
      </c>
      <c r="H448" s="3" t="str">
        <f>CONCATENATE("64210655235")</f>
        <v>64210655235</v>
      </c>
      <c r="I448" s="3" t="s">
        <v>25</v>
      </c>
      <c r="J448" s="3" t="s">
        <v>26</v>
      </c>
      <c r="K448" s="3" t="str">
        <f t="shared" si="19"/>
        <v/>
      </c>
      <c r="L448" s="3" t="str">
        <f>CONCATENATE("13 13.1 4a")</f>
        <v>13 13.1 4a</v>
      </c>
      <c r="M448" s="3" t="str">
        <f>CONCATENATE("FRSMPL77T52B474M")</f>
        <v>FRSMPL77T52B474M</v>
      </c>
      <c r="N448" s="3" t="s">
        <v>561</v>
      </c>
      <c r="O448" s="3"/>
      <c r="P448" s="4">
        <v>42783</v>
      </c>
      <c r="Q448" s="3" t="s">
        <v>27</v>
      </c>
      <c r="R448" s="3" t="s">
        <v>28</v>
      </c>
      <c r="S448" s="3" t="s">
        <v>29</v>
      </c>
      <c r="T448" s="5">
        <v>4590</v>
      </c>
      <c r="U448" s="5">
        <v>1979.21</v>
      </c>
      <c r="V448" s="5">
        <v>1827.74</v>
      </c>
      <c r="W448" s="3">
        <v>783.05</v>
      </c>
    </row>
    <row r="449" spans="1:23" ht="60.75">
      <c r="A449" s="3" t="s">
        <v>23</v>
      </c>
      <c r="B449" s="3" t="s">
        <v>24</v>
      </c>
      <c r="C449" s="3" t="s">
        <v>35</v>
      </c>
      <c r="D449" s="3" t="s">
        <v>43</v>
      </c>
      <c r="E449" s="3" t="s">
        <v>30</v>
      </c>
      <c r="F449" s="3" t="s">
        <v>131</v>
      </c>
      <c r="G449" s="3">
        <v>2016</v>
      </c>
      <c r="H449" s="3" t="str">
        <f>CONCATENATE("64240255758")</f>
        <v>64240255758</v>
      </c>
      <c r="I449" s="3" t="s">
        <v>25</v>
      </c>
      <c r="J449" s="3" t="s">
        <v>26</v>
      </c>
      <c r="K449" s="3" t="str">
        <f t="shared" si="19"/>
        <v/>
      </c>
      <c r="L449" s="3" t="str">
        <f>CONCATENATE("11 11.1 4b")</f>
        <v>11 11.1 4b</v>
      </c>
      <c r="M449" s="3" t="str">
        <f>CONCATENATE("BCCRRT65S57F348K")</f>
        <v>BCCRRT65S57F348K</v>
      </c>
      <c r="N449" s="3" t="s">
        <v>562</v>
      </c>
      <c r="O449" s="3"/>
      <c r="P449" s="4">
        <v>42783</v>
      </c>
      <c r="Q449" s="3" t="s">
        <v>27</v>
      </c>
      <c r="R449" s="3" t="s">
        <v>28</v>
      </c>
      <c r="S449" s="3" t="s">
        <v>29</v>
      </c>
      <c r="T449" s="5">
        <v>2252.75</v>
      </c>
      <c r="U449" s="3">
        <v>971.39</v>
      </c>
      <c r="V449" s="3">
        <v>897.05</v>
      </c>
      <c r="W449" s="3">
        <v>384.31</v>
      </c>
    </row>
    <row r="450" spans="1:23" ht="60.75">
      <c r="A450" s="3" t="s">
        <v>23</v>
      </c>
      <c r="B450" s="3" t="s">
        <v>24</v>
      </c>
      <c r="C450" s="3" t="s">
        <v>35</v>
      </c>
      <c r="D450" s="3" t="s">
        <v>48</v>
      </c>
      <c r="E450" s="3" t="s">
        <v>32</v>
      </c>
      <c r="F450" s="3" t="s">
        <v>69</v>
      </c>
      <c r="G450" s="3">
        <v>2016</v>
      </c>
      <c r="H450" s="3" t="str">
        <f>CONCATENATE("64210802787")</f>
        <v>64210802787</v>
      </c>
      <c r="I450" s="3" t="s">
        <v>25</v>
      </c>
      <c r="J450" s="3" t="s">
        <v>26</v>
      </c>
      <c r="K450" s="3" t="str">
        <f t="shared" si="19"/>
        <v/>
      </c>
      <c r="L450" s="3" t="str">
        <f>CONCATENATE("13 13.1 4a")</f>
        <v>13 13.1 4a</v>
      </c>
      <c r="M450" s="3" t="str">
        <f>CONCATENATE("MCAMGS61R55I661H")</f>
        <v>MCAMGS61R55I661H</v>
      </c>
      <c r="N450" s="3" t="s">
        <v>563</v>
      </c>
      <c r="O450" s="3"/>
      <c r="P450" s="4">
        <v>42783</v>
      </c>
      <c r="Q450" s="3" t="s">
        <v>27</v>
      </c>
      <c r="R450" s="3" t="s">
        <v>28</v>
      </c>
      <c r="S450" s="3" t="s">
        <v>29</v>
      </c>
      <c r="T450" s="5">
        <v>3757.49</v>
      </c>
      <c r="U450" s="5">
        <v>1620.23</v>
      </c>
      <c r="V450" s="5">
        <v>1496.23</v>
      </c>
      <c r="W450" s="3">
        <v>641.03</v>
      </c>
    </row>
    <row r="451" spans="1:23" ht="60.75">
      <c r="A451" s="3" t="s">
        <v>23</v>
      </c>
      <c r="B451" s="3" t="s">
        <v>24</v>
      </c>
      <c r="C451" s="3" t="s">
        <v>35</v>
      </c>
      <c r="D451" s="3" t="s">
        <v>48</v>
      </c>
      <c r="E451" s="3" t="s">
        <v>30</v>
      </c>
      <c r="F451" s="3" t="s">
        <v>57</v>
      </c>
      <c r="G451" s="3">
        <v>2016</v>
      </c>
      <c r="H451" s="3" t="str">
        <f>CONCATENATE("64240514816")</f>
        <v>64240514816</v>
      </c>
      <c r="I451" s="3" t="s">
        <v>25</v>
      </c>
      <c r="J451" s="3" t="s">
        <v>26</v>
      </c>
      <c r="K451" s="3" t="str">
        <f t="shared" si="19"/>
        <v/>
      </c>
      <c r="L451" s="3" t="str">
        <f>CONCATENATE("11 11.2 4b")</f>
        <v>11 11.2 4b</v>
      </c>
      <c r="M451" s="3" t="str">
        <f>CONCATENATE("PRFMRS49P67B562K")</f>
        <v>PRFMRS49P67B562K</v>
      </c>
      <c r="N451" s="3" t="s">
        <v>564</v>
      </c>
      <c r="O451" s="3"/>
      <c r="P451" s="4">
        <v>42783</v>
      </c>
      <c r="Q451" s="3" t="s">
        <v>27</v>
      </c>
      <c r="R451" s="3" t="s">
        <v>28</v>
      </c>
      <c r="S451" s="3" t="s">
        <v>29</v>
      </c>
      <c r="T451" s="5">
        <v>6186.69</v>
      </c>
      <c r="U451" s="5">
        <v>2667.7</v>
      </c>
      <c r="V451" s="5">
        <v>2463.54</v>
      </c>
      <c r="W451" s="5">
        <v>1055.45</v>
      </c>
    </row>
    <row r="452" spans="1:23" ht="36.75">
      <c r="A452" s="3" t="s">
        <v>23</v>
      </c>
      <c r="B452" s="3" t="s">
        <v>24</v>
      </c>
      <c r="C452" s="3" t="s">
        <v>35</v>
      </c>
      <c r="D452" s="3" t="s">
        <v>43</v>
      </c>
      <c r="E452" s="3" t="s">
        <v>30</v>
      </c>
      <c r="F452" s="3" t="s">
        <v>109</v>
      </c>
      <c r="G452" s="3">
        <v>2016</v>
      </c>
      <c r="H452" s="3" t="str">
        <f>CONCATENATE("64240768685")</f>
        <v>64240768685</v>
      </c>
      <c r="I452" s="3" t="s">
        <v>25</v>
      </c>
      <c r="J452" s="3" t="s">
        <v>26</v>
      </c>
      <c r="K452" s="3" t="str">
        <f t="shared" si="19"/>
        <v/>
      </c>
      <c r="L452" s="3" t="str">
        <f>CONCATENATE("11 11.1 4b")</f>
        <v>11 11.1 4b</v>
      </c>
      <c r="M452" s="3" t="str">
        <f>CONCATENATE("02374490411")</f>
        <v>02374490411</v>
      </c>
      <c r="N452" s="3" t="s">
        <v>565</v>
      </c>
      <c r="O452" s="3"/>
      <c r="P452" s="4">
        <v>42783</v>
      </c>
      <c r="Q452" s="3" t="s">
        <v>27</v>
      </c>
      <c r="R452" s="3" t="s">
        <v>28</v>
      </c>
      <c r="S452" s="3" t="s">
        <v>29</v>
      </c>
      <c r="T452" s="5">
        <v>1513.67</v>
      </c>
      <c r="U452" s="3">
        <v>652.69000000000005</v>
      </c>
      <c r="V452" s="3">
        <v>602.74</v>
      </c>
      <c r="W452" s="3">
        <v>258.24</v>
      </c>
    </row>
    <row r="453" spans="1:23" ht="60.75">
      <c r="A453" s="3" t="s">
        <v>23</v>
      </c>
      <c r="B453" s="3" t="s">
        <v>24</v>
      </c>
      <c r="C453" s="3" t="s">
        <v>35</v>
      </c>
      <c r="D453" s="3" t="s">
        <v>48</v>
      </c>
      <c r="E453" s="3" t="s">
        <v>30</v>
      </c>
      <c r="F453" s="3" t="s">
        <v>91</v>
      </c>
      <c r="G453" s="3">
        <v>2016</v>
      </c>
      <c r="H453" s="3" t="str">
        <f>CONCATENATE("64210589996")</f>
        <v>64210589996</v>
      </c>
      <c r="I453" s="3" t="s">
        <v>25</v>
      </c>
      <c r="J453" s="3" t="s">
        <v>26</v>
      </c>
      <c r="K453" s="3" t="str">
        <f t="shared" si="19"/>
        <v/>
      </c>
      <c r="L453" s="3" t="str">
        <f>CONCATENATE("13 13.1 4a")</f>
        <v>13 13.1 4a</v>
      </c>
      <c r="M453" s="3" t="str">
        <f>CONCATENATE("PYRBNR42D18L219T")</f>
        <v>PYRBNR42D18L219T</v>
      </c>
      <c r="N453" s="3" t="s">
        <v>566</v>
      </c>
      <c r="O453" s="3"/>
      <c r="P453" s="4">
        <v>42783</v>
      </c>
      <c r="Q453" s="3" t="s">
        <v>27</v>
      </c>
      <c r="R453" s="3" t="s">
        <v>28</v>
      </c>
      <c r="S453" s="3" t="s">
        <v>29</v>
      </c>
      <c r="T453" s="5">
        <v>4590</v>
      </c>
      <c r="U453" s="5">
        <v>1979.21</v>
      </c>
      <c r="V453" s="5">
        <v>1827.74</v>
      </c>
      <c r="W453" s="3">
        <v>783.05</v>
      </c>
    </row>
    <row r="454" spans="1:23" ht="60.75">
      <c r="A454" s="3" t="s">
        <v>23</v>
      </c>
      <c r="B454" s="3" t="s">
        <v>24</v>
      </c>
      <c r="C454" s="3" t="s">
        <v>35</v>
      </c>
      <c r="D454" s="3" t="s">
        <v>43</v>
      </c>
      <c r="E454" s="3" t="s">
        <v>30</v>
      </c>
      <c r="F454" s="3" t="s">
        <v>104</v>
      </c>
      <c r="G454" s="3">
        <v>2016</v>
      </c>
      <c r="H454" s="3" t="str">
        <f>CONCATENATE("64240394680")</f>
        <v>64240394680</v>
      </c>
      <c r="I454" s="3" t="s">
        <v>25</v>
      </c>
      <c r="J454" s="3" t="s">
        <v>26</v>
      </c>
      <c r="K454" s="3" t="str">
        <f t="shared" si="19"/>
        <v/>
      </c>
      <c r="L454" s="3" t="str">
        <f>CONCATENATE("11 11.2 4b")</f>
        <v>11 11.2 4b</v>
      </c>
      <c r="M454" s="3" t="str">
        <f>CONCATENATE("PTTBTN66D25F979F")</f>
        <v>PTTBTN66D25F979F</v>
      </c>
      <c r="N454" s="3" t="s">
        <v>567</v>
      </c>
      <c r="O454" s="3"/>
      <c r="P454" s="4">
        <v>42783</v>
      </c>
      <c r="Q454" s="3" t="s">
        <v>27</v>
      </c>
      <c r="R454" s="3" t="s">
        <v>28</v>
      </c>
      <c r="S454" s="3" t="s">
        <v>29</v>
      </c>
      <c r="T454" s="5">
        <v>9018.7900000000009</v>
      </c>
      <c r="U454" s="5">
        <v>3888.9</v>
      </c>
      <c r="V454" s="5">
        <v>3591.28</v>
      </c>
      <c r="W454" s="5">
        <v>1538.61</v>
      </c>
    </row>
    <row r="455" spans="1:23" ht="60.75">
      <c r="A455" s="3" t="s">
        <v>23</v>
      </c>
      <c r="B455" s="3" t="s">
        <v>24</v>
      </c>
      <c r="C455" s="3" t="s">
        <v>35</v>
      </c>
      <c r="D455" s="3" t="s">
        <v>36</v>
      </c>
      <c r="E455" s="3" t="s">
        <v>33</v>
      </c>
      <c r="F455" s="3" t="s">
        <v>95</v>
      </c>
      <c r="G455" s="3">
        <v>2016</v>
      </c>
      <c r="H455" s="3" t="str">
        <f>CONCATENATE("64240423208")</f>
        <v>64240423208</v>
      </c>
      <c r="I455" s="3" t="s">
        <v>31</v>
      </c>
      <c r="J455" s="3" t="s">
        <v>26</v>
      </c>
      <c r="K455" s="3" t="str">
        <f t="shared" si="19"/>
        <v/>
      </c>
      <c r="L455" s="3" t="str">
        <f>CONCATENATE("11 11.2 4b")</f>
        <v>11 11.2 4b</v>
      </c>
      <c r="M455" s="3" t="str">
        <f>CONCATENATE("FBBCDD69P50F241V")</f>
        <v>FBBCDD69P50F241V</v>
      </c>
      <c r="N455" s="3" t="s">
        <v>568</v>
      </c>
      <c r="O455" s="3"/>
      <c r="P455" s="4">
        <v>42783</v>
      </c>
      <c r="Q455" s="3" t="s">
        <v>27</v>
      </c>
      <c r="R455" s="3" t="s">
        <v>28</v>
      </c>
      <c r="S455" s="3" t="s">
        <v>29</v>
      </c>
      <c r="T455" s="5">
        <v>1974.42</v>
      </c>
      <c r="U455" s="3">
        <v>851.37</v>
      </c>
      <c r="V455" s="3">
        <v>786.21</v>
      </c>
      <c r="W455" s="3">
        <v>336.84</v>
      </c>
    </row>
    <row r="456" spans="1:23" ht="72.75">
      <c r="A456" s="3" t="s">
        <v>23</v>
      </c>
      <c r="B456" s="3" t="s">
        <v>24</v>
      </c>
      <c r="C456" s="3" t="s">
        <v>35</v>
      </c>
      <c r="D456" s="3" t="s">
        <v>36</v>
      </c>
      <c r="E456" s="3" t="s">
        <v>32</v>
      </c>
      <c r="F456" s="3" t="s">
        <v>179</v>
      </c>
      <c r="G456" s="3">
        <v>2016</v>
      </c>
      <c r="H456" s="3" t="str">
        <f>CONCATENATE("64210170425")</f>
        <v>64210170425</v>
      </c>
      <c r="I456" s="3" t="s">
        <v>25</v>
      </c>
      <c r="J456" s="3" t="s">
        <v>26</v>
      </c>
      <c r="K456" s="3" t="str">
        <f t="shared" si="19"/>
        <v/>
      </c>
      <c r="L456" s="3" t="str">
        <f>CONCATENATE("13 13.1 4a")</f>
        <v>13 13.1 4a</v>
      </c>
      <c r="M456" s="3" t="str">
        <f>CONCATENATE("MRONTN38P01A252P")</f>
        <v>MRONTN38P01A252P</v>
      </c>
      <c r="N456" s="3" t="s">
        <v>569</v>
      </c>
      <c r="O456" s="3"/>
      <c r="P456" s="4">
        <v>42783</v>
      </c>
      <c r="Q456" s="3" t="s">
        <v>27</v>
      </c>
      <c r="R456" s="3" t="s">
        <v>28</v>
      </c>
      <c r="S456" s="3" t="s">
        <v>29</v>
      </c>
      <c r="T456" s="3">
        <v>841.94</v>
      </c>
      <c r="U456" s="3">
        <v>363.04</v>
      </c>
      <c r="V456" s="3">
        <v>335.26</v>
      </c>
      <c r="W456" s="3">
        <v>143.63999999999999</v>
      </c>
    </row>
    <row r="457" spans="1:23" ht="60.75">
      <c r="A457" s="3" t="s">
        <v>23</v>
      </c>
      <c r="B457" s="3" t="s">
        <v>24</v>
      </c>
      <c r="C457" s="3" t="s">
        <v>35</v>
      </c>
      <c r="D457" s="3" t="s">
        <v>48</v>
      </c>
      <c r="E457" s="3" t="s">
        <v>30</v>
      </c>
      <c r="F457" s="3" t="s">
        <v>91</v>
      </c>
      <c r="G457" s="3">
        <v>2016</v>
      </c>
      <c r="H457" s="3" t="str">
        <f>CONCATENATE("64240251054")</f>
        <v>64240251054</v>
      </c>
      <c r="I457" s="3" t="s">
        <v>25</v>
      </c>
      <c r="J457" s="3" t="s">
        <v>26</v>
      </c>
      <c r="K457" s="3" t="str">
        <f t="shared" si="19"/>
        <v/>
      </c>
      <c r="L457" s="3" t="str">
        <f>CONCATENATE("11 11.2 4b")</f>
        <v>11 11.2 4b</v>
      </c>
      <c r="M457" s="3" t="str">
        <f>CONCATENATE("RPLNRC64S25B474S")</f>
        <v>RPLNRC64S25B474S</v>
      </c>
      <c r="N457" s="3" t="s">
        <v>570</v>
      </c>
      <c r="O457" s="3"/>
      <c r="P457" s="4">
        <v>42783</v>
      </c>
      <c r="Q457" s="3" t="s">
        <v>27</v>
      </c>
      <c r="R457" s="3" t="s">
        <v>28</v>
      </c>
      <c r="S457" s="3" t="s">
        <v>29</v>
      </c>
      <c r="T457" s="5">
        <v>3008.1</v>
      </c>
      <c r="U457" s="5">
        <v>1297.0899999999999</v>
      </c>
      <c r="V457" s="5">
        <v>1197.83</v>
      </c>
      <c r="W457" s="3">
        <v>513.17999999999995</v>
      </c>
    </row>
    <row r="458" spans="1:23" ht="60.75">
      <c r="A458" s="3" t="s">
        <v>23</v>
      </c>
      <c r="B458" s="3" t="s">
        <v>24</v>
      </c>
      <c r="C458" s="3" t="s">
        <v>35</v>
      </c>
      <c r="D458" s="3" t="s">
        <v>48</v>
      </c>
      <c r="E458" s="3" t="s">
        <v>30</v>
      </c>
      <c r="F458" s="3" t="s">
        <v>91</v>
      </c>
      <c r="G458" s="3">
        <v>2016</v>
      </c>
      <c r="H458" s="3" t="str">
        <f>CONCATENATE("64210529141")</f>
        <v>64210529141</v>
      </c>
      <c r="I458" s="3" t="s">
        <v>25</v>
      </c>
      <c r="J458" s="3" t="s">
        <v>26</v>
      </c>
      <c r="K458" s="3" t="str">
        <f t="shared" si="19"/>
        <v/>
      </c>
      <c r="L458" s="3" t="str">
        <f>CONCATENATE("13 13.1 4a")</f>
        <v>13 13.1 4a</v>
      </c>
      <c r="M458" s="3" t="str">
        <f>CONCATENATE("PGNLCN34P25M078W")</f>
        <v>PGNLCN34P25M078W</v>
      </c>
      <c r="N458" s="3" t="s">
        <v>571</v>
      </c>
      <c r="O458" s="3"/>
      <c r="P458" s="4">
        <v>42783</v>
      </c>
      <c r="Q458" s="3" t="s">
        <v>27</v>
      </c>
      <c r="R458" s="3" t="s">
        <v>28</v>
      </c>
      <c r="S458" s="3" t="s">
        <v>29</v>
      </c>
      <c r="T458" s="5">
        <v>2544.41</v>
      </c>
      <c r="U458" s="5">
        <v>1097.1500000000001</v>
      </c>
      <c r="V458" s="5">
        <v>1013.18</v>
      </c>
      <c r="W458" s="3">
        <v>434.08</v>
      </c>
    </row>
    <row r="459" spans="1:23" ht="60.75">
      <c r="A459" s="3" t="s">
        <v>23</v>
      </c>
      <c r="B459" s="3" t="s">
        <v>24</v>
      </c>
      <c r="C459" s="3" t="s">
        <v>35</v>
      </c>
      <c r="D459" s="3" t="s">
        <v>48</v>
      </c>
      <c r="E459" s="3" t="s">
        <v>30</v>
      </c>
      <c r="F459" s="3" t="s">
        <v>91</v>
      </c>
      <c r="G459" s="3">
        <v>2016</v>
      </c>
      <c r="H459" s="3" t="str">
        <f>CONCATENATE("64240299285")</f>
        <v>64240299285</v>
      </c>
      <c r="I459" s="3" t="s">
        <v>25</v>
      </c>
      <c r="J459" s="3" t="s">
        <v>26</v>
      </c>
      <c r="K459" s="3" t="str">
        <f t="shared" si="19"/>
        <v/>
      </c>
      <c r="L459" s="3" t="str">
        <f>CONCATENATE("11 11.1 4b")</f>
        <v>11 11.1 4b</v>
      </c>
      <c r="M459" s="3" t="str">
        <f>CONCATENATE("CSTSRG67D21D564B")</f>
        <v>CSTSRG67D21D564B</v>
      </c>
      <c r="N459" s="3" t="s">
        <v>572</v>
      </c>
      <c r="O459" s="3"/>
      <c r="P459" s="4">
        <v>42783</v>
      </c>
      <c r="Q459" s="3" t="s">
        <v>27</v>
      </c>
      <c r="R459" s="3" t="s">
        <v>28</v>
      </c>
      <c r="S459" s="3" t="s">
        <v>29</v>
      </c>
      <c r="T459" s="5">
        <v>2717.78</v>
      </c>
      <c r="U459" s="5">
        <v>1171.9100000000001</v>
      </c>
      <c r="V459" s="5">
        <v>1082.22</v>
      </c>
      <c r="W459" s="3">
        <v>463.65</v>
      </c>
    </row>
    <row r="460" spans="1:23" ht="60.75">
      <c r="A460" s="3" t="s">
        <v>23</v>
      </c>
      <c r="B460" s="3" t="s">
        <v>24</v>
      </c>
      <c r="C460" s="3" t="s">
        <v>35</v>
      </c>
      <c r="D460" s="3" t="s">
        <v>48</v>
      </c>
      <c r="E460" s="3" t="s">
        <v>30</v>
      </c>
      <c r="F460" s="3" t="s">
        <v>157</v>
      </c>
      <c r="G460" s="3">
        <v>2016</v>
      </c>
      <c r="H460" s="3" t="str">
        <f>CONCATENATE("64210894354")</f>
        <v>64210894354</v>
      </c>
      <c r="I460" s="3" t="s">
        <v>25</v>
      </c>
      <c r="J460" s="3" t="s">
        <v>26</v>
      </c>
      <c r="K460" s="3" t="str">
        <f t="shared" si="19"/>
        <v/>
      </c>
      <c r="L460" s="3" t="str">
        <f>CONCATENATE("13 13.1 4a")</f>
        <v>13 13.1 4a</v>
      </c>
      <c r="M460" s="3" t="str">
        <f>CONCATENATE("LAILNE68T60L992S")</f>
        <v>LAILNE68T60L992S</v>
      </c>
      <c r="N460" s="3" t="s">
        <v>573</v>
      </c>
      <c r="O460" s="3"/>
      <c r="P460" s="4">
        <v>42783</v>
      </c>
      <c r="Q460" s="3" t="s">
        <v>27</v>
      </c>
      <c r="R460" s="3" t="s">
        <v>28</v>
      </c>
      <c r="S460" s="3" t="s">
        <v>29</v>
      </c>
      <c r="T460" s="5">
        <v>1944.66</v>
      </c>
      <c r="U460" s="3">
        <v>838.54</v>
      </c>
      <c r="V460" s="3">
        <v>774.36</v>
      </c>
      <c r="W460" s="3">
        <v>331.76</v>
      </c>
    </row>
    <row r="461" spans="1:23" ht="60.75">
      <c r="A461" s="3" t="s">
        <v>23</v>
      </c>
      <c r="B461" s="3" t="s">
        <v>24</v>
      </c>
      <c r="C461" s="3" t="s">
        <v>35</v>
      </c>
      <c r="D461" s="3" t="s">
        <v>36</v>
      </c>
      <c r="E461" s="3" t="s">
        <v>32</v>
      </c>
      <c r="F461" s="3" t="s">
        <v>179</v>
      </c>
      <c r="G461" s="3">
        <v>2016</v>
      </c>
      <c r="H461" s="3" t="str">
        <f>CONCATENATE("64240900692")</f>
        <v>64240900692</v>
      </c>
      <c r="I461" s="3" t="s">
        <v>25</v>
      </c>
      <c r="J461" s="3" t="s">
        <v>26</v>
      </c>
      <c r="K461" s="3" t="str">
        <f t="shared" si="19"/>
        <v/>
      </c>
      <c r="L461" s="3" t="str">
        <f>CONCATENATE("10 10.1 4b")</f>
        <v>10 10.1 4b</v>
      </c>
      <c r="M461" s="3" t="str">
        <f>CONCATENATE("PLNMHL75L23G920J")</f>
        <v>PLNMHL75L23G920J</v>
      </c>
      <c r="N461" s="3" t="s">
        <v>574</v>
      </c>
      <c r="O461" s="3"/>
      <c r="P461" s="4">
        <v>42783</v>
      </c>
      <c r="Q461" s="3" t="s">
        <v>27</v>
      </c>
      <c r="R461" s="3" t="s">
        <v>28</v>
      </c>
      <c r="S461" s="3" t="s">
        <v>29</v>
      </c>
      <c r="T461" s="5">
        <v>1599.07</v>
      </c>
      <c r="U461" s="3">
        <v>689.52</v>
      </c>
      <c r="V461" s="3">
        <v>636.75</v>
      </c>
      <c r="W461" s="3">
        <v>272.8</v>
      </c>
    </row>
    <row r="462" spans="1:23" ht="72.75">
      <c r="A462" s="3" t="s">
        <v>23</v>
      </c>
      <c r="B462" s="3" t="s">
        <v>24</v>
      </c>
      <c r="C462" s="3" t="s">
        <v>35</v>
      </c>
      <c r="D462" s="3" t="s">
        <v>43</v>
      </c>
      <c r="E462" s="3" t="s">
        <v>32</v>
      </c>
      <c r="F462" s="3" t="s">
        <v>575</v>
      </c>
      <c r="G462" s="3">
        <v>2016</v>
      </c>
      <c r="H462" s="3" t="str">
        <f>CONCATENATE("64240346466")</f>
        <v>64240346466</v>
      </c>
      <c r="I462" s="3" t="s">
        <v>25</v>
      </c>
      <c r="J462" s="3" t="s">
        <v>26</v>
      </c>
      <c r="K462" s="3" t="str">
        <f t="shared" si="19"/>
        <v/>
      </c>
      <c r="L462" s="3" t="str">
        <f>CONCATENATE("11 11.1 4b")</f>
        <v>11 11.1 4b</v>
      </c>
      <c r="M462" s="3" t="str">
        <f>CONCATENATE("BRNSFN87H06D488W")</f>
        <v>BRNSFN87H06D488W</v>
      </c>
      <c r="N462" s="3" t="s">
        <v>576</v>
      </c>
      <c r="O462" s="3"/>
      <c r="P462" s="4">
        <v>42783</v>
      </c>
      <c r="Q462" s="3" t="s">
        <v>27</v>
      </c>
      <c r="R462" s="3" t="s">
        <v>28</v>
      </c>
      <c r="S462" s="3" t="s">
        <v>29</v>
      </c>
      <c r="T462" s="5">
        <v>2936.12</v>
      </c>
      <c r="U462" s="5">
        <v>1266.05</v>
      </c>
      <c r="V462" s="5">
        <v>1169.1600000000001</v>
      </c>
      <c r="W462" s="3">
        <v>500.91</v>
      </c>
    </row>
    <row r="463" spans="1:23" ht="60.75">
      <c r="A463" s="3" t="s">
        <v>23</v>
      </c>
      <c r="B463" s="3" t="s">
        <v>24</v>
      </c>
      <c r="C463" s="3" t="s">
        <v>35</v>
      </c>
      <c r="D463" s="3" t="s">
        <v>43</v>
      </c>
      <c r="E463" s="3" t="s">
        <v>30</v>
      </c>
      <c r="F463" s="3" t="s">
        <v>131</v>
      </c>
      <c r="G463" s="3">
        <v>2016</v>
      </c>
      <c r="H463" s="3" t="str">
        <f>CONCATENATE("64240784724")</f>
        <v>64240784724</v>
      </c>
      <c r="I463" s="3" t="s">
        <v>25</v>
      </c>
      <c r="J463" s="3" t="s">
        <v>26</v>
      </c>
      <c r="K463" s="3" t="str">
        <f t="shared" si="19"/>
        <v/>
      </c>
      <c r="L463" s="3" t="str">
        <f>CONCATENATE("11 11.2 4b")</f>
        <v>11 11.2 4b</v>
      </c>
      <c r="M463" s="3" t="str">
        <f>CONCATENATE("RBRLSN59B07H809J")</f>
        <v>RBRLSN59B07H809J</v>
      </c>
      <c r="N463" s="3" t="s">
        <v>577</v>
      </c>
      <c r="O463" s="3"/>
      <c r="P463" s="4">
        <v>42783</v>
      </c>
      <c r="Q463" s="3" t="s">
        <v>27</v>
      </c>
      <c r="R463" s="3" t="s">
        <v>28</v>
      </c>
      <c r="S463" s="3" t="s">
        <v>29</v>
      </c>
      <c r="T463" s="5">
        <v>6593.49</v>
      </c>
      <c r="U463" s="5">
        <v>2843.11</v>
      </c>
      <c r="V463" s="5">
        <v>2625.53</v>
      </c>
      <c r="W463" s="5">
        <v>1124.8499999999999</v>
      </c>
    </row>
    <row r="464" spans="1:23" ht="60.75">
      <c r="A464" s="3" t="s">
        <v>23</v>
      </c>
      <c r="B464" s="3" t="s">
        <v>24</v>
      </c>
      <c r="C464" s="3" t="s">
        <v>35</v>
      </c>
      <c r="D464" s="3" t="s">
        <v>36</v>
      </c>
      <c r="E464" s="3" t="s">
        <v>33</v>
      </c>
      <c r="F464" s="3" t="s">
        <v>192</v>
      </c>
      <c r="G464" s="3">
        <v>2016</v>
      </c>
      <c r="H464" s="3" t="str">
        <f>CONCATENATE("64240395810")</f>
        <v>64240395810</v>
      </c>
      <c r="I464" s="3" t="s">
        <v>25</v>
      </c>
      <c r="J464" s="3" t="s">
        <v>26</v>
      </c>
      <c r="K464" s="3" t="str">
        <f t="shared" si="19"/>
        <v/>
      </c>
      <c r="L464" s="3" t="str">
        <f>CONCATENATE("11 11.2 4b")</f>
        <v>11 11.2 4b</v>
      </c>
      <c r="M464" s="3" t="str">
        <f>CONCATENATE("CCCNLN64S12G005V")</f>
        <v>CCCNLN64S12G005V</v>
      </c>
      <c r="N464" s="3" t="s">
        <v>578</v>
      </c>
      <c r="O464" s="3"/>
      <c r="P464" s="4">
        <v>42783</v>
      </c>
      <c r="Q464" s="3" t="s">
        <v>27</v>
      </c>
      <c r="R464" s="3" t="s">
        <v>28</v>
      </c>
      <c r="S464" s="3" t="s">
        <v>29</v>
      </c>
      <c r="T464" s="5">
        <v>1330.11</v>
      </c>
      <c r="U464" s="3">
        <v>573.54</v>
      </c>
      <c r="V464" s="3">
        <v>529.65</v>
      </c>
      <c r="W464" s="3">
        <v>226.92</v>
      </c>
    </row>
    <row r="465" spans="1:23" ht="60.75">
      <c r="A465" s="3" t="s">
        <v>23</v>
      </c>
      <c r="B465" s="3" t="s">
        <v>24</v>
      </c>
      <c r="C465" s="3" t="s">
        <v>35</v>
      </c>
      <c r="D465" s="3" t="s">
        <v>39</v>
      </c>
      <c r="E465" s="3" t="s">
        <v>30</v>
      </c>
      <c r="F465" s="3" t="s">
        <v>196</v>
      </c>
      <c r="G465" s="3">
        <v>2016</v>
      </c>
      <c r="H465" s="3" t="str">
        <f>CONCATENATE("64240763686")</f>
        <v>64240763686</v>
      </c>
      <c r="I465" s="3" t="s">
        <v>25</v>
      </c>
      <c r="J465" s="3" t="s">
        <v>26</v>
      </c>
      <c r="K465" s="3" t="str">
        <f t="shared" si="19"/>
        <v/>
      </c>
      <c r="L465" s="3" t="str">
        <f>CONCATENATE("10 10.1 4a")</f>
        <v>10 10.1 4a</v>
      </c>
      <c r="M465" s="3" t="str">
        <f>CONCATENATE("SBBLCU79L21E388P")</f>
        <v>SBBLCU79L21E388P</v>
      </c>
      <c r="N465" s="3" t="s">
        <v>197</v>
      </c>
      <c r="O465" s="3"/>
      <c r="P465" s="4">
        <v>42783</v>
      </c>
      <c r="Q465" s="3" t="s">
        <v>27</v>
      </c>
      <c r="R465" s="3" t="s">
        <v>28</v>
      </c>
      <c r="S465" s="3" t="s">
        <v>29</v>
      </c>
      <c r="T465" s="5">
        <v>4692.5600000000004</v>
      </c>
      <c r="U465" s="5">
        <v>2023.43</v>
      </c>
      <c r="V465" s="5">
        <v>1868.58</v>
      </c>
      <c r="W465" s="3">
        <v>800.55</v>
      </c>
    </row>
    <row r="466" spans="1:23" ht="60.75">
      <c r="A466" s="3" t="s">
        <v>23</v>
      </c>
      <c r="B466" s="3" t="s">
        <v>24</v>
      </c>
      <c r="C466" s="3" t="s">
        <v>35</v>
      </c>
      <c r="D466" s="3" t="s">
        <v>43</v>
      </c>
      <c r="E466" s="3" t="s">
        <v>30</v>
      </c>
      <c r="F466" s="3" t="s">
        <v>131</v>
      </c>
      <c r="G466" s="3">
        <v>2016</v>
      </c>
      <c r="H466" s="3" t="str">
        <f>CONCATENATE("64240216982")</f>
        <v>64240216982</v>
      </c>
      <c r="I466" s="3" t="s">
        <v>25</v>
      </c>
      <c r="J466" s="3" t="s">
        <v>26</v>
      </c>
      <c r="K466" s="3" t="str">
        <f t="shared" si="19"/>
        <v/>
      </c>
      <c r="L466" s="3" t="str">
        <f>CONCATENATE("11 11.1 4b")</f>
        <v>11 11.1 4b</v>
      </c>
      <c r="M466" s="3" t="str">
        <f>CONCATENATE("GLNPRZ67C05D488R")</f>
        <v>GLNPRZ67C05D488R</v>
      </c>
      <c r="N466" s="3" t="s">
        <v>579</v>
      </c>
      <c r="O466" s="3"/>
      <c r="P466" s="4">
        <v>42783</v>
      </c>
      <c r="Q466" s="3" t="s">
        <v>27</v>
      </c>
      <c r="R466" s="3" t="s">
        <v>28</v>
      </c>
      <c r="S466" s="3" t="s">
        <v>29</v>
      </c>
      <c r="T466" s="5">
        <v>1277.3599999999999</v>
      </c>
      <c r="U466" s="3">
        <v>550.79999999999995</v>
      </c>
      <c r="V466" s="3">
        <v>508.64</v>
      </c>
      <c r="W466" s="3">
        <v>217.92</v>
      </c>
    </row>
    <row r="467" spans="1:23" ht="60.75">
      <c r="A467" s="3" t="s">
        <v>23</v>
      </c>
      <c r="B467" s="3" t="s">
        <v>24</v>
      </c>
      <c r="C467" s="3" t="s">
        <v>35</v>
      </c>
      <c r="D467" s="3" t="s">
        <v>43</v>
      </c>
      <c r="E467" s="3" t="s">
        <v>30</v>
      </c>
      <c r="F467" s="3" t="s">
        <v>124</v>
      </c>
      <c r="G467" s="3">
        <v>2016</v>
      </c>
      <c r="H467" s="3" t="str">
        <f>CONCATENATE("64240594347")</f>
        <v>64240594347</v>
      </c>
      <c r="I467" s="3" t="s">
        <v>25</v>
      </c>
      <c r="J467" s="3" t="s">
        <v>26</v>
      </c>
      <c r="K467" s="3" t="str">
        <f t="shared" si="19"/>
        <v/>
      </c>
      <c r="L467" s="3" t="str">
        <f>CONCATENATE("11 11.2 4b")</f>
        <v>11 11.2 4b</v>
      </c>
      <c r="M467" s="3" t="str">
        <f>CONCATENATE("MBRLBA64M46E351G")</f>
        <v>MBRLBA64M46E351G</v>
      </c>
      <c r="N467" s="3" t="s">
        <v>580</v>
      </c>
      <c r="O467" s="3"/>
      <c r="P467" s="4">
        <v>42783</v>
      </c>
      <c r="Q467" s="3" t="s">
        <v>27</v>
      </c>
      <c r="R467" s="3" t="s">
        <v>28</v>
      </c>
      <c r="S467" s="3" t="s">
        <v>29</v>
      </c>
      <c r="T467" s="5">
        <v>3653.26</v>
      </c>
      <c r="U467" s="5">
        <v>1575.29</v>
      </c>
      <c r="V467" s="5">
        <v>1454.73</v>
      </c>
      <c r="W467" s="3">
        <v>623.24</v>
      </c>
    </row>
    <row r="468" spans="1:23" ht="60.75">
      <c r="A468" s="3" t="s">
        <v>23</v>
      </c>
      <c r="B468" s="3" t="s">
        <v>24</v>
      </c>
      <c r="C468" s="3" t="s">
        <v>35</v>
      </c>
      <c r="D468" s="3" t="s">
        <v>43</v>
      </c>
      <c r="E468" s="3" t="s">
        <v>30</v>
      </c>
      <c r="F468" s="3" t="s">
        <v>124</v>
      </c>
      <c r="G468" s="3">
        <v>2016</v>
      </c>
      <c r="H468" s="3" t="str">
        <f>CONCATENATE("64210501603")</f>
        <v>64210501603</v>
      </c>
      <c r="I468" s="3" t="s">
        <v>25</v>
      </c>
      <c r="J468" s="3" t="s">
        <v>26</v>
      </c>
      <c r="K468" s="3" t="str">
        <f t="shared" si="19"/>
        <v/>
      </c>
      <c r="L468" s="3" t="str">
        <f>CONCATENATE("13 13.1 4a")</f>
        <v>13 13.1 4a</v>
      </c>
      <c r="M468" s="3" t="str">
        <f>CONCATENATE("TBRFNC67L14Z133R")</f>
        <v>TBRFNC67L14Z133R</v>
      </c>
      <c r="N468" s="3" t="s">
        <v>581</v>
      </c>
      <c r="O468" s="3"/>
      <c r="P468" s="4">
        <v>42783</v>
      </c>
      <c r="Q468" s="3" t="s">
        <v>27</v>
      </c>
      <c r="R468" s="3" t="s">
        <v>28</v>
      </c>
      <c r="S468" s="3" t="s">
        <v>29</v>
      </c>
      <c r="T468" s="5">
        <v>3486.35</v>
      </c>
      <c r="U468" s="5">
        <v>1503.31</v>
      </c>
      <c r="V468" s="5">
        <v>1388.26</v>
      </c>
      <c r="W468" s="3">
        <v>594.78</v>
      </c>
    </row>
    <row r="469" spans="1:23" ht="60.75">
      <c r="A469" s="3" t="s">
        <v>23</v>
      </c>
      <c r="B469" s="3" t="s">
        <v>24</v>
      </c>
      <c r="C469" s="3" t="s">
        <v>35</v>
      </c>
      <c r="D469" s="3" t="s">
        <v>43</v>
      </c>
      <c r="E469" s="3" t="s">
        <v>30</v>
      </c>
      <c r="F469" s="3" t="s">
        <v>199</v>
      </c>
      <c r="G469" s="3">
        <v>2016</v>
      </c>
      <c r="H469" s="3" t="str">
        <f>CONCATENATE("64240266383")</f>
        <v>64240266383</v>
      </c>
      <c r="I469" s="3" t="s">
        <v>25</v>
      </c>
      <c r="J469" s="3" t="s">
        <v>26</v>
      </c>
      <c r="K469" s="3" t="str">
        <f t="shared" si="19"/>
        <v/>
      </c>
      <c r="L469" s="3" t="str">
        <f>CONCATENATE("11 11.2 4b")</f>
        <v>11 11.2 4b</v>
      </c>
      <c r="M469" s="3" t="str">
        <f>CONCATENATE("RCNFBL60T41L081V")</f>
        <v>RCNFBL60T41L081V</v>
      </c>
      <c r="N469" s="3" t="s">
        <v>582</v>
      </c>
      <c r="O469" s="3"/>
      <c r="P469" s="4">
        <v>42783</v>
      </c>
      <c r="Q469" s="3" t="s">
        <v>27</v>
      </c>
      <c r="R469" s="3" t="s">
        <v>28</v>
      </c>
      <c r="S469" s="3" t="s">
        <v>29</v>
      </c>
      <c r="T469" s="3">
        <v>329.81</v>
      </c>
      <c r="U469" s="3">
        <v>142.21</v>
      </c>
      <c r="V469" s="3">
        <v>131.33000000000001</v>
      </c>
      <c r="W469" s="3">
        <v>56.27</v>
      </c>
    </row>
    <row r="470" spans="1:23" ht="36.75">
      <c r="A470" s="3" t="s">
        <v>23</v>
      </c>
      <c r="B470" s="3" t="s">
        <v>24</v>
      </c>
      <c r="C470" s="3" t="s">
        <v>35</v>
      </c>
      <c r="D470" s="3" t="s">
        <v>36</v>
      </c>
      <c r="E470" s="3" t="s">
        <v>33</v>
      </c>
      <c r="F470" s="3" t="s">
        <v>89</v>
      </c>
      <c r="G470" s="3">
        <v>2016</v>
      </c>
      <c r="H470" s="3" t="str">
        <f>CONCATENATE("64240613493")</f>
        <v>64240613493</v>
      </c>
      <c r="I470" s="3" t="s">
        <v>25</v>
      </c>
      <c r="J470" s="3" t="s">
        <v>26</v>
      </c>
      <c r="K470" s="3" t="str">
        <f t="shared" si="19"/>
        <v/>
      </c>
      <c r="L470" s="3" t="str">
        <f>CONCATENATE("11 11.2 4b")</f>
        <v>11 11.2 4b</v>
      </c>
      <c r="M470" s="3" t="str">
        <f>CONCATENATE("02069340442")</f>
        <v>02069340442</v>
      </c>
      <c r="N470" s="3" t="s">
        <v>583</v>
      </c>
      <c r="O470" s="3"/>
      <c r="P470" s="4">
        <v>42783</v>
      </c>
      <c r="Q470" s="3" t="s">
        <v>27</v>
      </c>
      <c r="R470" s="3" t="s">
        <v>28</v>
      </c>
      <c r="S470" s="3" t="s">
        <v>29</v>
      </c>
      <c r="T470" s="5">
        <v>9568.4599999999991</v>
      </c>
      <c r="U470" s="5">
        <v>4125.92</v>
      </c>
      <c r="V470" s="5">
        <v>3810.16</v>
      </c>
      <c r="W470" s="5">
        <v>1632.38</v>
      </c>
    </row>
    <row r="471" spans="1:23" ht="60.75">
      <c r="A471" s="3" t="s">
        <v>23</v>
      </c>
      <c r="B471" s="3" t="s">
        <v>24</v>
      </c>
      <c r="C471" s="3" t="s">
        <v>35</v>
      </c>
      <c r="D471" s="3" t="s">
        <v>39</v>
      </c>
      <c r="E471" s="3" t="s">
        <v>33</v>
      </c>
      <c r="F471" s="3" t="s">
        <v>584</v>
      </c>
      <c r="G471" s="3">
        <v>2016</v>
      </c>
      <c r="H471" s="3" t="str">
        <f>CONCATENATE("64240396768")</f>
        <v>64240396768</v>
      </c>
      <c r="I471" s="3" t="s">
        <v>25</v>
      </c>
      <c r="J471" s="3" t="s">
        <v>26</v>
      </c>
      <c r="K471" s="3" t="str">
        <f t="shared" si="19"/>
        <v/>
      </c>
      <c r="L471" s="3" t="str">
        <f>CONCATENATE("11 11.2 4b")</f>
        <v>11 11.2 4b</v>
      </c>
      <c r="M471" s="3" t="str">
        <f>CONCATENATE("RNLRRT67S42C615N")</f>
        <v>RNLRRT67S42C615N</v>
      </c>
      <c r="N471" s="3" t="s">
        <v>585</v>
      </c>
      <c r="O471" s="3"/>
      <c r="P471" s="4">
        <v>42783</v>
      </c>
      <c r="Q471" s="3" t="s">
        <v>27</v>
      </c>
      <c r="R471" s="3" t="s">
        <v>28</v>
      </c>
      <c r="S471" s="3" t="s">
        <v>29</v>
      </c>
      <c r="T471" s="5">
        <v>4568.3100000000004</v>
      </c>
      <c r="U471" s="5">
        <v>1969.86</v>
      </c>
      <c r="V471" s="5">
        <v>1819.1</v>
      </c>
      <c r="W471" s="3">
        <v>779.35</v>
      </c>
    </row>
    <row r="472" spans="1:23" ht="72.75">
      <c r="A472" s="3" t="s">
        <v>23</v>
      </c>
      <c r="B472" s="3" t="s">
        <v>24</v>
      </c>
      <c r="C472" s="3" t="s">
        <v>35</v>
      </c>
      <c r="D472" s="3" t="s">
        <v>36</v>
      </c>
      <c r="E472" s="3" t="s">
        <v>33</v>
      </c>
      <c r="F472" s="3" t="s">
        <v>192</v>
      </c>
      <c r="G472" s="3">
        <v>2016</v>
      </c>
      <c r="H472" s="3" t="str">
        <f>CONCATENATE("64240259834")</f>
        <v>64240259834</v>
      </c>
      <c r="I472" s="3" t="s">
        <v>25</v>
      </c>
      <c r="J472" s="3" t="s">
        <v>26</v>
      </c>
      <c r="K472" s="3" t="str">
        <f t="shared" si="19"/>
        <v/>
      </c>
      <c r="L472" s="3" t="str">
        <f>CONCATENATE("11 11.2 4b")</f>
        <v>11 11.2 4b</v>
      </c>
      <c r="M472" s="3" t="str">
        <f>CONCATENATE("DNGMRA66M53G005W")</f>
        <v>DNGMRA66M53G005W</v>
      </c>
      <c r="N472" s="3" t="s">
        <v>536</v>
      </c>
      <c r="O472" s="3"/>
      <c r="P472" s="4">
        <v>42783</v>
      </c>
      <c r="Q472" s="3" t="s">
        <v>27</v>
      </c>
      <c r="R472" s="3" t="s">
        <v>28</v>
      </c>
      <c r="S472" s="3" t="s">
        <v>29</v>
      </c>
      <c r="T472" s="5">
        <v>3285.35</v>
      </c>
      <c r="U472" s="5">
        <v>1416.64</v>
      </c>
      <c r="V472" s="5">
        <v>1308.23</v>
      </c>
      <c r="W472" s="3">
        <v>560.48</v>
      </c>
    </row>
    <row r="473" spans="1:23" ht="60.75">
      <c r="A473" s="3" t="s">
        <v>23</v>
      </c>
      <c r="B473" s="3" t="s">
        <v>24</v>
      </c>
      <c r="C473" s="3" t="s">
        <v>35</v>
      </c>
      <c r="D473" s="3" t="s">
        <v>43</v>
      </c>
      <c r="E473" s="3" t="s">
        <v>30</v>
      </c>
      <c r="F473" s="3" t="s">
        <v>76</v>
      </c>
      <c r="G473" s="3">
        <v>2016</v>
      </c>
      <c r="H473" s="3" t="str">
        <f>CONCATENATE("64210140154")</f>
        <v>64210140154</v>
      </c>
      <c r="I473" s="3" t="s">
        <v>31</v>
      </c>
      <c r="J473" s="3" t="s">
        <v>26</v>
      </c>
      <c r="K473" s="3" t="str">
        <f t="shared" si="19"/>
        <v/>
      </c>
      <c r="L473" s="3" t="str">
        <f>CONCATENATE("13 13.1 4a")</f>
        <v>13 13.1 4a</v>
      </c>
      <c r="M473" s="3" t="str">
        <f>CONCATENATE("MRTDNC61E07F467X")</f>
        <v>MRTDNC61E07F467X</v>
      </c>
      <c r="N473" s="3" t="s">
        <v>586</v>
      </c>
      <c r="O473" s="3"/>
      <c r="P473" s="4">
        <v>42783</v>
      </c>
      <c r="Q473" s="3" t="s">
        <v>27</v>
      </c>
      <c r="R473" s="3" t="s">
        <v>28</v>
      </c>
      <c r="S473" s="3" t="s">
        <v>29</v>
      </c>
      <c r="T473" s="3">
        <v>732.8</v>
      </c>
      <c r="U473" s="3">
        <v>315.98</v>
      </c>
      <c r="V473" s="3">
        <v>291.8</v>
      </c>
      <c r="W473" s="3">
        <v>125.02</v>
      </c>
    </row>
    <row r="474" spans="1:23" ht="36.75">
      <c r="A474" s="3" t="s">
        <v>23</v>
      </c>
      <c r="B474" s="3" t="s">
        <v>24</v>
      </c>
      <c r="C474" s="3" t="s">
        <v>35</v>
      </c>
      <c r="D474" s="3" t="s">
        <v>43</v>
      </c>
      <c r="E474" s="3" t="s">
        <v>49</v>
      </c>
      <c r="F474" s="3" t="s">
        <v>276</v>
      </c>
      <c r="G474" s="3">
        <v>2016</v>
      </c>
      <c r="H474" s="3" t="str">
        <f>CONCATENATE("64240281234")</f>
        <v>64240281234</v>
      </c>
      <c r="I474" s="3" t="s">
        <v>25</v>
      </c>
      <c r="J474" s="3" t="s">
        <v>26</v>
      </c>
      <c r="K474" s="3" t="str">
        <f t="shared" si="19"/>
        <v/>
      </c>
      <c r="L474" s="3" t="str">
        <f>CONCATENATE("11 11.2 4b")</f>
        <v>11 11.2 4b</v>
      </c>
      <c r="M474" s="3" t="str">
        <f>CONCATENATE("02526300419")</f>
        <v>02526300419</v>
      </c>
      <c r="N474" s="3" t="s">
        <v>587</v>
      </c>
      <c r="O474" s="3"/>
      <c r="P474" s="4">
        <v>42783</v>
      </c>
      <c r="Q474" s="3" t="s">
        <v>27</v>
      </c>
      <c r="R474" s="3" t="s">
        <v>28</v>
      </c>
      <c r="S474" s="3" t="s">
        <v>29</v>
      </c>
      <c r="T474" s="5">
        <v>15732.73</v>
      </c>
      <c r="U474" s="5">
        <v>6783.95</v>
      </c>
      <c r="V474" s="5">
        <v>6264.77</v>
      </c>
      <c r="W474" s="5">
        <v>2684.01</v>
      </c>
    </row>
    <row r="475" spans="1:23" ht="36.75">
      <c r="A475" s="3" t="s">
        <v>23</v>
      </c>
      <c r="B475" s="3" t="s">
        <v>24</v>
      </c>
      <c r="C475" s="3" t="s">
        <v>35</v>
      </c>
      <c r="D475" s="3" t="s">
        <v>39</v>
      </c>
      <c r="E475" s="3" t="s">
        <v>34</v>
      </c>
      <c r="F475" s="3" t="s">
        <v>170</v>
      </c>
      <c r="G475" s="3">
        <v>2016</v>
      </c>
      <c r="H475" s="3" t="str">
        <f>CONCATENATE("64240738605")</f>
        <v>64240738605</v>
      </c>
      <c r="I475" s="3" t="s">
        <v>31</v>
      </c>
      <c r="J475" s="3" t="s">
        <v>26</v>
      </c>
      <c r="K475" s="3" t="str">
        <f t="shared" si="19"/>
        <v/>
      </c>
      <c r="L475" s="3" t="str">
        <f>CONCATENATE("11 11.2 4b")</f>
        <v>11 11.2 4b</v>
      </c>
      <c r="M475" s="3" t="str">
        <f>CONCATENATE("02559890427")</f>
        <v>02559890427</v>
      </c>
      <c r="N475" s="3" t="s">
        <v>588</v>
      </c>
      <c r="O475" s="3"/>
      <c r="P475" s="4">
        <v>42783</v>
      </c>
      <c r="Q475" s="3" t="s">
        <v>27</v>
      </c>
      <c r="R475" s="3" t="s">
        <v>28</v>
      </c>
      <c r="S475" s="3" t="s">
        <v>29</v>
      </c>
      <c r="T475" s="5">
        <v>1694.39</v>
      </c>
      <c r="U475" s="3">
        <v>730.62</v>
      </c>
      <c r="V475" s="3">
        <v>674.71</v>
      </c>
      <c r="W475" s="3">
        <v>289.06</v>
      </c>
    </row>
    <row r="476" spans="1:23" ht="60.75">
      <c r="A476" s="3" t="s">
        <v>23</v>
      </c>
      <c r="B476" s="3" t="s">
        <v>24</v>
      </c>
      <c r="C476" s="3" t="s">
        <v>35</v>
      </c>
      <c r="D476" s="3" t="s">
        <v>43</v>
      </c>
      <c r="E476" s="3" t="s">
        <v>49</v>
      </c>
      <c r="F476" s="3" t="s">
        <v>139</v>
      </c>
      <c r="G476" s="3">
        <v>2016</v>
      </c>
      <c r="H476" s="3" t="str">
        <f>CONCATENATE("64240348942")</f>
        <v>64240348942</v>
      </c>
      <c r="I476" s="3" t="s">
        <v>25</v>
      </c>
      <c r="J476" s="3" t="s">
        <v>26</v>
      </c>
      <c r="K476" s="3" t="str">
        <f t="shared" si="19"/>
        <v/>
      </c>
      <c r="L476" s="3" t="str">
        <f>CONCATENATE("11 11.2 4b")</f>
        <v>11 11.2 4b</v>
      </c>
      <c r="M476" s="3" t="str">
        <f>CONCATENATE("RSTGNI45B22E743X")</f>
        <v>RSTGNI45B22E743X</v>
      </c>
      <c r="N476" s="3" t="s">
        <v>589</v>
      </c>
      <c r="O476" s="3"/>
      <c r="P476" s="4">
        <v>42783</v>
      </c>
      <c r="Q476" s="3" t="s">
        <v>27</v>
      </c>
      <c r="R476" s="3" t="s">
        <v>28</v>
      </c>
      <c r="S476" s="3" t="s">
        <v>29</v>
      </c>
      <c r="T476" s="5">
        <v>7739.85</v>
      </c>
      <c r="U476" s="5">
        <v>3337.42</v>
      </c>
      <c r="V476" s="5">
        <v>3082.01</v>
      </c>
      <c r="W476" s="5">
        <v>1320.42</v>
      </c>
    </row>
    <row r="477" spans="1:23" ht="60.75">
      <c r="A477" s="3" t="s">
        <v>23</v>
      </c>
      <c r="B477" s="3" t="s">
        <v>24</v>
      </c>
      <c r="C477" s="3" t="s">
        <v>35</v>
      </c>
      <c r="D477" s="3" t="s">
        <v>43</v>
      </c>
      <c r="E477" s="3" t="s">
        <v>30</v>
      </c>
      <c r="F477" s="3" t="s">
        <v>199</v>
      </c>
      <c r="G477" s="3">
        <v>2016</v>
      </c>
      <c r="H477" s="3" t="str">
        <f>CONCATENATE("64240727343")</f>
        <v>64240727343</v>
      </c>
      <c r="I477" s="3" t="s">
        <v>25</v>
      </c>
      <c r="J477" s="3" t="s">
        <v>26</v>
      </c>
      <c r="K477" s="3" t="str">
        <f t="shared" si="19"/>
        <v/>
      </c>
      <c r="L477" s="3" t="str">
        <f>CONCATENATE("11 11.2 4b")</f>
        <v>11 11.2 4b</v>
      </c>
      <c r="M477" s="3" t="str">
        <f>CONCATENATE("MRZMRZ51E22D488Q")</f>
        <v>MRZMRZ51E22D488Q</v>
      </c>
      <c r="N477" s="3" t="s">
        <v>590</v>
      </c>
      <c r="O477" s="3"/>
      <c r="P477" s="4">
        <v>42783</v>
      </c>
      <c r="Q477" s="3" t="s">
        <v>27</v>
      </c>
      <c r="R477" s="3" t="s">
        <v>28</v>
      </c>
      <c r="S477" s="3" t="s">
        <v>29</v>
      </c>
      <c r="T477" s="5">
        <v>13494.61</v>
      </c>
      <c r="U477" s="5">
        <v>5818.88</v>
      </c>
      <c r="V477" s="5">
        <v>5373.55</v>
      </c>
      <c r="W477" s="5">
        <v>2302.1799999999998</v>
      </c>
    </row>
    <row r="478" spans="1:23" ht="60.75">
      <c r="A478" s="3" t="s">
        <v>23</v>
      </c>
      <c r="B478" s="3" t="s">
        <v>24</v>
      </c>
      <c r="C478" s="3" t="s">
        <v>35</v>
      </c>
      <c r="D478" s="3" t="s">
        <v>43</v>
      </c>
      <c r="E478" s="3" t="s">
        <v>30</v>
      </c>
      <c r="F478" s="3" t="s">
        <v>76</v>
      </c>
      <c r="G478" s="3">
        <v>2016</v>
      </c>
      <c r="H478" s="3" t="str">
        <f>CONCATENATE("64240484820")</f>
        <v>64240484820</v>
      </c>
      <c r="I478" s="3" t="s">
        <v>25</v>
      </c>
      <c r="J478" s="3" t="s">
        <v>26</v>
      </c>
      <c r="K478" s="3" t="str">
        <f t="shared" si="19"/>
        <v/>
      </c>
      <c r="L478" s="3" t="str">
        <f>CONCATENATE("11 11.2 4b")</f>
        <v>11 11.2 4b</v>
      </c>
      <c r="M478" s="3" t="str">
        <f>CONCATENATE("RSSDVD73E28E785Q")</f>
        <v>RSSDVD73E28E785Q</v>
      </c>
      <c r="N478" s="3" t="s">
        <v>303</v>
      </c>
      <c r="O478" s="3"/>
      <c r="P478" s="4">
        <v>42783</v>
      </c>
      <c r="Q478" s="3" t="s">
        <v>27</v>
      </c>
      <c r="R478" s="3" t="s">
        <v>28</v>
      </c>
      <c r="S478" s="3" t="s">
        <v>29</v>
      </c>
      <c r="T478" s="5">
        <v>8864</v>
      </c>
      <c r="U478" s="5">
        <v>3822.16</v>
      </c>
      <c r="V478" s="5">
        <v>3529.64</v>
      </c>
      <c r="W478" s="5">
        <v>1512.2</v>
      </c>
    </row>
    <row r="479" spans="1:23" ht="60.75">
      <c r="A479" s="3" t="s">
        <v>23</v>
      </c>
      <c r="B479" s="3" t="s">
        <v>24</v>
      </c>
      <c r="C479" s="3" t="s">
        <v>35</v>
      </c>
      <c r="D479" s="3" t="s">
        <v>43</v>
      </c>
      <c r="E479" s="3" t="s">
        <v>32</v>
      </c>
      <c r="F479" s="3" t="s">
        <v>44</v>
      </c>
      <c r="G479" s="3">
        <v>2016</v>
      </c>
      <c r="H479" s="3" t="str">
        <f>CONCATENATE("64240466975")</f>
        <v>64240466975</v>
      </c>
      <c r="I479" s="3" t="s">
        <v>25</v>
      </c>
      <c r="J479" s="3" t="s">
        <v>26</v>
      </c>
      <c r="K479" s="3" t="str">
        <f t="shared" si="19"/>
        <v/>
      </c>
      <c r="L479" s="3" t="str">
        <f>CONCATENATE("10 10.1 4a")</f>
        <v>10 10.1 4a</v>
      </c>
      <c r="M479" s="3" t="str">
        <f>CONCATENATE("PRTFST63D07G453J")</f>
        <v>PRTFST63D07G453J</v>
      </c>
      <c r="N479" s="3" t="s">
        <v>591</v>
      </c>
      <c r="O479" s="3"/>
      <c r="P479" s="4">
        <v>42783</v>
      </c>
      <c r="Q479" s="3" t="s">
        <v>27</v>
      </c>
      <c r="R479" s="3" t="s">
        <v>28</v>
      </c>
      <c r="S479" s="3" t="s">
        <v>29</v>
      </c>
      <c r="T479" s="3">
        <v>585</v>
      </c>
      <c r="U479" s="3">
        <v>252.25</v>
      </c>
      <c r="V479" s="3">
        <v>232.95</v>
      </c>
      <c r="W479" s="3">
        <v>99.8</v>
      </c>
    </row>
    <row r="480" spans="1:23" ht="60.75">
      <c r="A480" s="3" t="s">
        <v>23</v>
      </c>
      <c r="B480" s="3" t="s">
        <v>24</v>
      </c>
      <c r="C480" s="3" t="s">
        <v>35</v>
      </c>
      <c r="D480" s="3" t="s">
        <v>43</v>
      </c>
      <c r="E480" s="3" t="s">
        <v>34</v>
      </c>
      <c r="F480" s="3" t="s">
        <v>146</v>
      </c>
      <c r="G480" s="3">
        <v>2016</v>
      </c>
      <c r="H480" s="3" t="str">
        <f>CONCATENATE("64240091229")</f>
        <v>64240091229</v>
      </c>
      <c r="I480" s="3" t="s">
        <v>25</v>
      </c>
      <c r="J480" s="3" t="s">
        <v>26</v>
      </c>
      <c r="K480" s="3" t="str">
        <f t="shared" si="19"/>
        <v/>
      </c>
      <c r="L480" s="3" t="str">
        <f>CONCATENATE("11 11.2 4b")</f>
        <v>11 11.2 4b</v>
      </c>
      <c r="M480" s="3" t="str">
        <f>CONCATENATE("CSTCTR65S30Z110D")</f>
        <v>CSTCTR65S30Z110D</v>
      </c>
      <c r="N480" s="3" t="s">
        <v>592</v>
      </c>
      <c r="O480" s="3"/>
      <c r="P480" s="4">
        <v>42783</v>
      </c>
      <c r="Q480" s="3" t="s">
        <v>27</v>
      </c>
      <c r="R480" s="3" t="s">
        <v>28</v>
      </c>
      <c r="S480" s="3" t="s">
        <v>29</v>
      </c>
      <c r="T480" s="5">
        <v>3411.97</v>
      </c>
      <c r="U480" s="5">
        <v>1471.24</v>
      </c>
      <c r="V480" s="5">
        <v>1358.65</v>
      </c>
      <c r="W480" s="3">
        <v>582.08000000000004</v>
      </c>
    </row>
    <row r="481" spans="1:23" ht="60.75">
      <c r="A481" s="3" t="s">
        <v>23</v>
      </c>
      <c r="B481" s="3" t="s">
        <v>24</v>
      </c>
      <c r="C481" s="3" t="s">
        <v>35</v>
      </c>
      <c r="D481" s="3" t="s">
        <v>43</v>
      </c>
      <c r="E481" s="3" t="s">
        <v>32</v>
      </c>
      <c r="F481" s="3" t="s">
        <v>148</v>
      </c>
      <c r="G481" s="3">
        <v>2016</v>
      </c>
      <c r="H481" s="3" t="str">
        <f>CONCATENATE("64240429783")</f>
        <v>64240429783</v>
      </c>
      <c r="I481" s="3" t="s">
        <v>25</v>
      </c>
      <c r="J481" s="3" t="s">
        <v>26</v>
      </c>
      <c r="K481" s="3" t="str">
        <f t="shared" si="19"/>
        <v/>
      </c>
      <c r="L481" s="3" t="str">
        <f>CONCATENATE("11 11.1 4b")</f>
        <v>11 11.1 4b</v>
      </c>
      <c r="M481" s="3" t="str">
        <f>CONCATENATE("FRRRND48D09G479K")</f>
        <v>FRRRND48D09G479K</v>
      </c>
      <c r="N481" s="3" t="s">
        <v>593</v>
      </c>
      <c r="O481" s="3"/>
      <c r="P481" s="4">
        <v>42783</v>
      </c>
      <c r="Q481" s="3" t="s">
        <v>27</v>
      </c>
      <c r="R481" s="3" t="s">
        <v>28</v>
      </c>
      <c r="S481" s="3" t="s">
        <v>29</v>
      </c>
      <c r="T481" s="5">
        <v>2514.67</v>
      </c>
      <c r="U481" s="5">
        <v>1084.33</v>
      </c>
      <c r="V481" s="5">
        <v>1001.34</v>
      </c>
      <c r="W481" s="3">
        <v>429</v>
      </c>
    </row>
    <row r="482" spans="1:23" ht="60.75">
      <c r="A482" s="3" t="s">
        <v>23</v>
      </c>
      <c r="B482" s="3" t="s">
        <v>24</v>
      </c>
      <c r="C482" s="3" t="s">
        <v>35</v>
      </c>
      <c r="D482" s="3" t="s">
        <v>39</v>
      </c>
      <c r="E482" s="3" t="s">
        <v>30</v>
      </c>
      <c r="F482" s="3" t="s">
        <v>40</v>
      </c>
      <c r="G482" s="3">
        <v>2016</v>
      </c>
      <c r="H482" s="3" t="str">
        <f>CONCATENATE("64240526992")</f>
        <v>64240526992</v>
      </c>
      <c r="I482" s="3" t="s">
        <v>25</v>
      </c>
      <c r="J482" s="3" t="s">
        <v>26</v>
      </c>
      <c r="K482" s="3" t="str">
        <f t="shared" si="19"/>
        <v/>
      </c>
      <c r="L482" s="3" t="str">
        <f>CONCATENATE("11 11.2 4b")</f>
        <v>11 11.2 4b</v>
      </c>
      <c r="M482" s="3" t="str">
        <f>CONCATENATE("GSTPFR57A27I849C")</f>
        <v>GSTPFR57A27I849C</v>
      </c>
      <c r="N482" s="3" t="s">
        <v>594</v>
      </c>
      <c r="O482" s="3"/>
      <c r="P482" s="4">
        <v>42783</v>
      </c>
      <c r="Q482" s="3" t="s">
        <v>27</v>
      </c>
      <c r="R482" s="3" t="s">
        <v>28</v>
      </c>
      <c r="S482" s="3" t="s">
        <v>29</v>
      </c>
      <c r="T482" s="5">
        <v>2052.58</v>
      </c>
      <c r="U482" s="3">
        <v>885.07</v>
      </c>
      <c r="V482" s="3">
        <v>817.34</v>
      </c>
      <c r="W482" s="3">
        <v>350.17</v>
      </c>
    </row>
    <row r="483" spans="1:23" ht="60.75">
      <c r="A483" s="3" t="s">
        <v>23</v>
      </c>
      <c r="B483" s="3" t="s">
        <v>24</v>
      </c>
      <c r="C483" s="3" t="s">
        <v>35</v>
      </c>
      <c r="D483" s="3" t="s">
        <v>43</v>
      </c>
      <c r="E483" s="3" t="s">
        <v>30</v>
      </c>
      <c r="F483" s="3" t="s">
        <v>76</v>
      </c>
      <c r="G483" s="3">
        <v>2016</v>
      </c>
      <c r="H483" s="3" t="str">
        <f>CONCATENATE("64210140188")</f>
        <v>64210140188</v>
      </c>
      <c r="I483" s="3" t="s">
        <v>31</v>
      </c>
      <c r="J483" s="3" t="s">
        <v>26</v>
      </c>
      <c r="K483" s="3" t="str">
        <f t="shared" si="19"/>
        <v/>
      </c>
      <c r="L483" s="3" t="str">
        <f>CONCATENATE("13 13.1 4a")</f>
        <v>13 13.1 4a</v>
      </c>
      <c r="M483" s="3" t="str">
        <f>CONCATENATE("MRTGNN36E07F524A")</f>
        <v>MRTGNN36E07F524A</v>
      </c>
      <c r="N483" s="3" t="s">
        <v>595</v>
      </c>
      <c r="O483" s="3"/>
      <c r="P483" s="4">
        <v>42783</v>
      </c>
      <c r="Q483" s="3" t="s">
        <v>27</v>
      </c>
      <c r="R483" s="3" t="s">
        <v>28</v>
      </c>
      <c r="S483" s="3" t="s">
        <v>29</v>
      </c>
      <c r="T483" s="3">
        <v>942.62</v>
      </c>
      <c r="U483" s="3">
        <v>406.46</v>
      </c>
      <c r="V483" s="3">
        <v>375.35</v>
      </c>
      <c r="W483" s="3">
        <v>160.81</v>
      </c>
    </row>
    <row r="484" spans="1:23" ht="60.75">
      <c r="A484" s="3" t="s">
        <v>23</v>
      </c>
      <c r="B484" s="3" t="s">
        <v>24</v>
      </c>
      <c r="C484" s="3" t="s">
        <v>35</v>
      </c>
      <c r="D484" s="3" t="s">
        <v>43</v>
      </c>
      <c r="E484" s="3" t="s">
        <v>32</v>
      </c>
      <c r="F484" s="3" t="s">
        <v>148</v>
      </c>
      <c r="G484" s="3">
        <v>2016</v>
      </c>
      <c r="H484" s="3" t="str">
        <f>CONCATENATE("64240461265")</f>
        <v>64240461265</v>
      </c>
      <c r="I484" s="3" t="s">
        <v>25</v>
      </c>
      <c r="J484" s="3" t="s">
        <v>26</v>
      </c>
      <c r="K484" s="3" t="str">
        <f t="shared" si="19"/>
        <v/>
      </c>
      <c r="L484" s="3" t="str">
        <f>CONCATENATE("11 11.2 4b")</f>
        <v>11 11.2 4b</v>
      </c>
      <c r="M484" s="3" t="str">
        <f>CONCATENATE("PRDNMR43P57I344K")</f>
        <v>PRDNMR43P57I344K</v>
      </c>
      <c r="N484" s="3" t="s">
        <v>596</v>
      </c>
      <c r="O484" s="3"/>
      <c r="P484" s="4">
        <v>42783</v>
      </c>
      <c r="Q484" s="3" t="s">
        <v>27</v>
      </c>
      <c r="R484" s="3" t="s">
        <v>28</v>
      </c>
      <c r="S484" s="3" t="s">
        <v>29</v>
      </c>
      <c r="T484" s="5">
        <v>2441.25</v>
      </c>
      <c r="U484" s="5">
        <v>1052.67</v>
      </c>
      <c r="V484" s="3">
        <v>972.11</v>
      </c>
      <c r="W484" s="3">
        <v>416.47</v>
      </c>
    </row>
    <row r="485" spans="1:23" ht="72.75">
      <c r="A485" s="3" t="s">
        <v>23</v>
      </c>
      <c r="B485" s="3" t="s">
        <v>24</v>
      </c>
      <c r="C485" s="3" t="s">
        <v>35</v>
      </c>
      <c r="D485" s="3" t="s">
        <v>36</v>
      </c>
      <c r="E485" s="3" t="s">
        <v>33</v>
      </c>
      <c r="F485" s="3" t="s">
        <v>192</v>
      </c>
      <c r="G485" s="3">
        <v>2016</v>
      </c>
      <c r="H485" s="3" t="str">
        <f>CONCATENATE("64240324539")</f>
        <v>64240324539</v>
      </c>
      <c r="I485" s="3" t="s">
        <v>25</v>
      </c>
      <c r="J485" s="3" t="s">
        <v>26</v>
      </c>
      <c r="K485" s="3" t="str">
        <f t="shared" si="19"/>
        <v/>
      </c>
      <c r="L485" s="3" t="str">
        <f>CONCATENATE("11 11.2 4b")</f>
        <v>11 11.2 4b</v>
      </c>
      <c r="M485" s="3" t="str">
        <f>CONCATENATE("BRNMGD69H56G005S")</f>
        <v>BRNMGD69H56G005S</v>
      </c>
      <c r="N485" s="3" t="s">
        <v>597</v>
      </c>
      <c r="O485" s="3"/>
      <c r="P485" s="4">
        <v>42783</v>
      </c>
      <c r="Q485" s="3" t="s">
        <v>27</v>
      </c>
      <c r="R485" s="3" t="s">
        <v>28</v>
      </c>
      <c r="S485" s="3" t="s">
        <v>29</v>
      </c>
      <c r="T485" s="5">
        <v>6890.09</v>
      </c>
      <c r="U485" s="5">
        <v>2971.01</v>
      </c>
      <c r="V485" s="5">
        <v>2743.63</v>
      </c>
      <c r="W485" s="5">
        <v>1175.45</v>
      </c>
    </row>
    <row r="486" spans="1:23" ht="36.75">
      <c r="A486" s="3" t="s">
        <v>23</v>
      </c>
      <c r="B486" s="3" t="s">
        <v>24</v>
      </c>
      <c r="C486" s="3" t="s">
        <v>35</v>
      </c>
      <c r="D486" s="3" t="s">
        <v>36</v>
      </c>
      <c r="E486" s="3" t="s">
        <v>42</v>
      </c>
      <c r="F486" s="3" t="s">
        <v>42</v>
      </c>
      <c r="G486" s="3">
        <v>2016</v>
      </c>
      <c r="H486" s="3" t="str">
        <f>CONCATENATE("64240740684")</f>
        <v>64240740684</v>
      </c>
      <c r="I486" s="3" t="s">
        <v>31</v>
      </c>
      <c r="J486" s="3" t="s">
        <v>26</v>
      </c>
      <c r="K486" s="3" t="str">
        <f t="shared" si="19"/>
        <v/>
      </c>
      <c r="L486" s="3" t="str">
        <f>CONCATENATE("11 11.1 4b")</f>
        <v>11 11.1 4b</v>
      </c>
      <c r="M486" s="3" t="str">
        <f>CONCATENATE("02257120440")</f>
        <v>02257120440</v>
      </c>
      <c r="N486" s="3" t="s">
        <v>598</v>
      </c>
      <c r="O486" s="3"/>
      <c r="P486" s="4">
        <v>42783</v>
      </c>
      <c r="Q486" s="3" t="s">
        <v>27</v>
      </c>
      <c r="R486" s="3" t="s">
        <v>28</v>
      </c>
      <c r="S486" s="3" t="s">
        <v>29</v>
      </c>
      <c r="T486" s="3">
        <v>827.69</v>
      </c>
      <c r="U486" s="3">
        <v>356.9</v>
      </c>
      <c r="V486" s="3">
        <v>329.59</v>
      </c>
      <c r="W486" s="3">
        <v>141.19999999999999</v>
      </c>
    </row>
    <row r="487" spans="1:23" ht="60.75">
      <c r="A487" s="3" t="s">
        <v>23</v>
      </c>
      <c r="B487" s="3" t="s">
        <v>24</v>
      </c>
      <c r="C487" s="3" t="s">
        <v>35</v>
      </c>
      <c r="D487" s="3" t="s">
        <v>39</v>
      </c>
      <c r="E487" s="3" t="s">
        <v>49</v>
      </c>
      <c r="F487" s="3" t="s">
        <v>276</v>
      </c>
      <c r="G487" s="3">
        <v>2016</v>
      </c>
      <c r="H487" s="3" t="str">
        <f>CONCATENATE("64240483772")</f>
        <v>64240483772</v>
      </c>
      <c r="I487" s="3" t="s">
        <v>25</v>
      </c>
      <c r="J487" s="3" t="s">
        <v>26</v>
      </c>
      <c r="K487" s="3" t="str">
        <f t="shared" si="19"/>
        <v/>
      </c>
      <c r="L487" s="3" t="str">
        <f>CONCATENATE("11 11.2 4b")</f>
        <v>11 11.2 4b</v>
      </c>
      <c r="M487" s="3" t="str">
        <f>CONCATENATE("MRZLSN72T06G479D")</f>
        <v>MRZLSN72T06G479D</v>
      </c>
      <c r="N487" s="3" t="s">
        <v>599</v>
      </c>
      <c r="O487" s="3"/>
      <c r="P487" s="4">
        <v>42783</v>
      </c>
      <c r="Q487" s="3" t="s">
        <v>27</v>
      </c>
      <c r="R487" s="3" t="s">
        <v>28</v>
      </c>
      <c r="S487" s="3" t="s">
        <v>29</v>
      </c>
      <c r="T487" s="5">
        <v>4628.0600000000004</v>
      </c>
      <c r="U487" s="5">
        <v>1995.62</v>
      </c>
      <c r="V487" s="5">
        <v>1842.89</v>
      </c>
      <c r="W487" s="3">
        <v>789.55</v>
      </c>
    </row>
    <row r="488" spans="1:23" ht="36.75">
      <c r="A488" s="3" t="s">
        <v>23</v>
      </c>
      <c r="B488" s="3" t="s">
        <v>24</v>
      </c>
      <c r="C488" s="3" t="s">
        <v>35</v>
      </c>
      <c r="D488" s="3" t="s">
        <v>43</v>
      </c>
      <c r="E488" s="3" t="s">
        <v>30</v>
      </c>
      <c r="F488" s="3" t="s">
        <v>76</v>
      </c>
      <c r="G488" s="3">
        <v>2016</v>
      </c>
      <c r="H488" s="3" t="str">
        <f>CONCATENATE("64240285086")</f>
        <v>64240285086</v>
      </c>
      <c r="I488" s="3" t="s">
        <v>25</v>
      </c>
      <c r="J488" s="3" t="s">
        <v>26</v>
      </c>
      <c r="K488" s="3" t="str">
        <f t="shared" si="19"/>
        <v/>
      </c>
      <c r="L488" s="3" t="str">
        <f>CONCATENATE("11 11.2 4b")</f>
        <v>11 11.2 4b</v>
      </c>
      <c r="M488" s="3" t="str">
        <f>CONCATENATE("00360710412")</f>
        <v>00360710412</v>
      </c>
      <c r="N488" s="3" t="s">
        <v>600</v>
      </c>
      <c r="O488" s="3"/>
      <c r="P488" s="4">
        <v>42783</v>
      </c>
      <c r="Q488" s="3" t="s">
        <v>27</v>
      </c>
      <c r="R488" s="3" t="s">
        <v>28</v>
      </c>
      <c r="S488" s="3" t="s">
        <v>29</v>
      </c>
      <c r="T488" s="5">
        <v>27776.82</v>
      </c>
      <c r="U488" s="5">
        <v>11977.36</v>
      </c>
      <c r="V488" s="5">
        <v>11060.73</v>
      </c>
      <c r="W488" s="5">
        <v>4738.7299999999996</v>
      </c>
    </row>
    <row r="489" spans="1:23" ht="36.75">
      <c r="A489" s="3" t="s">
        <v>23</v>
      </c>
      <c r="B489" s="3" t="s">
        <v>24</v>
      </c>
      <c r="C489" s="3" t="s">
        <v>35</v>
      </c>
      <c r="D489" s="3" t="s">
        <v>43</v>
      </c>
      <c r="E489" s="3" t="s">
        <v>33</v>
      </c>
      <c r="F489" s="3" t="s">
        <v>122</v>
      </c>
      <c r="G489" s="3">
        <v>2016</v>
      </c>
      <c r="H489" s="3" t="str">
        <f>CONCATENATE("64211047069")</f>
        <v>64211047069</v>
      </c>
      <c r="I489" s="3" t="s">
        <v>31</v>
      </c>
      <c r="J489" s="3" t="s">
        <v>26</v>
      </c>
      <c r="K489" s="3" t="str">
        <f t="shared" si="19"/>
        <v/>
      </c>
      <c r="L489" s="3" t="str">
        <f>CONCATENATE("13 13.1 4a")</f>
        <v>13 13.1 4a</v>
      </c>
      <c r="M489" s="3" t="str">
        <f>CONCATENATE("02565520414")</f>
        <v>02565520414</v>
      </c>
      <c r="N489" s="3" t="s">
        <v>601</v>
      </c>
      <c r="O489" s="3"/>
      <c r="P489" s="4">
        <v>42783</v>
      </c>
      <c r="Q489" s="3" t="s">
        <v>27</v>
      </c>
      <c r="R489" s="3" t="s">
        <v>28</v>
      </c>
      <c r="S489" s="3" t="s">
        <v>29</v>
      </c>
      <c r="T489" s="5">
        <v>3773.05</v>
      </c>
      <c r="U489" s="5">
        <v>1626.94</v>
      </c>
      <c r="V489" s="5">
        <v>1502.43</v>
      </c>
      <c r="W489" s="3">
        <v>643.67999999999995</v>
      </c>
    </row>
    <row r="490" spans="1:23" ht="60.75">
      <c r="A490" s="3" t="s">
        <v>23</v>
      </c>
      <c r="B490" s="3" t="s">
        <v>24</v>
      </c>
      <c r="C490" s="3" t="s">
        <v>35</v>
      </c>
      <c r="D490" s="3" t="s">
        <v>43</v>
      </c>
      <c r="E490" s="3" t="s">
        <v>49</v>
      </c>
      <c r="F490" s="3" t="s">
        <v>276</v>
      </c>
      <c r="G490" s="3">
        <v>2016</v>
      </c>
      <c r="H490" s="3" t="str">
        <f>CONCATENATE("64240398863")</f>
        <v>64240398863</v>
      </c>
      <c r="I490" s="3" t="s">
        <v>25</v>
      </c>
      <c r="J490" s="3" t="s">
        <v>26</v>
      </c>
      <c r="K490" s="3" t="str">
        <f t="shared" si="19"/>
        <v/>
      </c>
      <c r="L490" s="3" t="str">
        <f>CONCATENATE("11 11.2 4b")</f>
        <v>11 11.2 4b</v>
      </c>
      <c r="M490" s="3" t="str">
        <f>CONCATENATE("FRRNNL59E64F450S")</f>
        <v>FRRNNL59E64F450S</v>
      </c>
      <c r="N490" s="3" t="s">
        <v>602</v>
      </c>
      <c r="O490" s="3"/>
      <c r="P490" s="4">
        <v>42783</v>
      </c>
      <c r="Q490" s="3" t="s">
        <v>27</v>
      </c>
      <c r="R490" s="3" t="s">
        <v>28</v>
      </c>
      <c r="S490" s="3" t="s">
        <v>29</v>
      </c>
      <c r="T490" s="5">
        <v>6401.3</v>
      </c>
      <c r="U490" s="5">
        <v>2760.24</v>
      </c>
      <c r="V490" s="5">
        <v>2549</v>
      </c>
      <c r="W490" s="5">
        <v>1092.06</v>
      </c>
    </row>
    <row r="491" spans="1:23" ht="60.75">
      <c r="A491" s="3" t="s">
        <v>23</v>
      </c>
      <c r="B491" s="3" t="s">
        <v>24</v>
      </c>
      <c r="C491" s="3" t="s">
        <v>35</v>
      </c>
      <c r="D491" s="3" t="s">
        <v>39</v>
      </c>
      <c r="E491" s="3" t="s">
        <v>30</v>
      </c>
      <c r="F491" s="3" t="s">
        <v>533</v>
      </c>
      <c r="G491" s="3">
        <v>2016</v>
      </c>
      <c r="H491" s="3" t="str">
        <f>CONCATENATE("64210335895")</f>
        <v>64210335895</v>
      </c>
      <c r="I491" s="3" t="s">
        <v>25</v>
      </c>
      <c r="J491" s="3" t="s">
        <v>26</v>
      </c>
      <c r="K491" s="3" t="str">
        <f t="shared" si="19"/>
        <v/>
      </c>
      <c r="L491" s="3" t="str">
        <f>CONCATENATE("13 13.1 4a")</f>
        <v>13 13.1 4a</v>
      </c>
      <c r="M491" s="3" t="str">
        <f>CONCATENATE("DLZVTR53A64E958S")</f>
        <v>DLZVTR53A64E958S</v>
      </c>
      <c r="N491" s="3" t="s">
        <v>603</v>
      </c>
      <c r="O491" s="3"/>
      <c r="P491" s="4">
        <v>42783</v>
      </c>
      <c r="Q491" s="3" t="s">
        <v>27</v>
      </c>
      <c r="R491" s="3" t="s">
        <v>28</v>
      </c>
      <c r="S491" s="3" t="s">
        <v>29</v>
      </c>
      <c r="T491" s="3">
        <v>722.31</v>
      </c>
      <c r="U491" s="3">
        <v>311.45999999999998</v>
      </c>
      <c r="V491" s="3">
        <v>287.62</v>
      </c>
      <c r="W491" s="3">
        <v>123.23</v>
      </c>
    </row>
    <row r="492" spans="1:23" ht="60.75">
      <c r="A492" s="3" t="s">
        <v>23</v>
      </c>
      <c r="B492" s="3" t="s">
        <v>24</v>
      </c>
      <c r="C492" s="3" t="s">
        <v>35</v>
      </c>
      <c r="D492" s="3" t="s">
        <v>48</v>
      </c>
      <c r="E492" s="3" t="s">
        <v>30</v>
      </c>
      <c r="F492" s="3" t="s">
        <v>91</v>
      </c>
      <c r="G492" s="3">
        <v>2016</v>
      </c>
      <c r="H492" s="3" t="str">
        <f>CONCATENATE("64240312757")</f>
        <v>64240312757</v>
      </c>
      <c r="I492" s="3" t="s">
        <v>25</v>
      </c>
      <c r="J492" s="3" t="s">
        <v>26</v>
      </c>
      <c r="K492" s="3" t="str">
        <f t="shared" si="19"/>
        <v/>
      </c>
      <c r="L492" s="3" t="str">
        <f>CONCATENATE("11 11.2 4b")</f>
        <v>11 11.2 4b</v>
      </c>
      <c r="M492" s="3" t="str">
        <f>CONCATENATE("BRNRRT67E04C704T")</f>
        <v>BRNRRT67E04C704T</v>
      </c>
      <c r="N492" s="3" t="s">
        <v>604</v>
      </c>
      <c r="O492" s="3"/>
      <c r="P492" s="4">
        <v>42783</v>
      </c>
      <c r="Q492" s="3" t="s">
        <v>27</v>
      </c>
      <c r="R492" s="3" t="s">
        <v>28</v>
      </c>
      <c r="S492" s="3" t="s">
        <v>29</v>
      </c>
      <c r="T492" s="5">
        <v>6856.78</v>
      </c>
      <c r="U492" s="5">
        <v>2956.64</v>
      </c>
      <c r="V492" s="5">
        <v>2730.37</v>
      </c>
      <c r="W492" s="5">
        <v>1169.77</v>
      </c>
    </row>
    <row r="493" spans="1:23" ht="72.75">
      <c r="A493" s="3" t="s">
        <v>23</v>
      </c>
      <c r="B493" s="3" t="s">
        <v>24</v>
      </c>
      <c r="C493" s="3" t="s">
        <v>35</v>
      </c>
      <c r="D493" s="3" t="s">
        <v>36</v>
      </c>
      <c r="E493" s="3" t="s">
        <v>33</v>
      </c>
      <c r="F493" s="3" t="s">
        <v>192</v>
      </c>
      <c r="G493" s="3">
        <v>2016</v>
      </c>
      <c r="H493" s="3" t="str">
        <f>CONCATENATE("64240393500")</f>
        <v>64240393500</v>
      </c>
      <c r="I493" s="3" t="s">
        <v>25</v>
      </c>
      <c r="J493" s="3" t="s">
        <v>26</v>
      </c>
      <c r="K493" s="3" t="str">
        <f t="shared" si="19"/>
        <v/>
      </c>
      <c r="L493" s="3" t="str">
        <f>CONCATENATE("11 11.2 4b")</f>
        <v>11 11.2 4b</v>
      </c>
      <c r="M493" s="3" t="str">
        <f>CONCATENATE("RSSPTR47R03H588G")</f>
        <v>RSSPTR47R03H588G</v>
      </c>
      <c r="N493" s="3" t="s">
        <v>605</v>
      </c>
      <c r="O493" s="3"/>
      <c r="P493" s="4">
        <v>42783</v>
      </c>
      <c r="Q493" s="3" t="s">
        <v>27</v>
      </c>
      <c r="R493" s="3" t="s">
        <v>28</v>
      </c>
      <c r="S493" s="3" t="s">
        <v>29</v>
      </c>
      <c r="T493" s="5">
        <v>1249.79</v>
      </c>
      <c r="U493" s="3">
        <v>538.91</v>
      </c>
      <c r="V493" s="3">
        <v>497.67</v>
      </c>
      <c r="W493" s="3">
        <v>213.21</v>
      </c>
    </row>
    <row r="494" spans="1:23" ht="36.75">
      <c r="A494" s="3" t="s">
        <v>23</v>
      </c>
      <c r="B494" s="3" t="s">
        <v>24</v>
      </c>
      <c r="C494" s="3" t="s">
        <v>35</v>
      </c>
      <c r="D494" s="3" t="s">
        <v>36</v>
      </c>
      <c r="E494" s="3" t="s">
        <v>32</v>
      </c>
      <c r="F494" s="3" t="s">
        <v>65</v>
      </c>
      <c r="G494" s="3">
        <v>2016</v>
      </c>
      <c r="H494" s="3" t="str">
        <f>CONCATENATE("64210624561")</f>
        <v>64210624561</v>
      </c>
      <c r="I494" s="3" t="s">
        <v>25</v>
      </c>
      <c r="J494" s="3" t="s">
        <v>26</v>
      </c>
      <c r="K494" s="3" t="str">
        <f t="shared" ref="K494:K557" si="20">CONCATENATE("")</f>
        <v/>
      </c>
      <c r="L494" s="3" t="str">
        <f>CONCATENATE("13 13.1 4a")</f>
        <v>13 13.1 4a</v>
      </c>
      <c r="M494" s="3" t="str">
        <f>CONCATENATE("00356320440")</f>
        <v>00356320440</v>
      </c>
      <c r="N494" s="3" t="s">
        <v>606</v>
      </c>
      <c r="O494" s="3"/>
      <c r="P494" s="4">
        <v>42783</v>
      </c>
      <c r="Q494" s="3" t="s">
        <v>27</v>
      </c>
      <c r="R494" s="3" t="s">
        <v>28</v>
      </c>
      <c r="S494" s="3" t="s">
        <v>29</v>
      </c>
      <c r="T494" s="3">
        <v>730.76</v>
      </c>
      <c r="U494" s="3">
        <v>315.10000000000002</v>
      </c>
      <c r="V494" s="3">
        <v>290.99</v>
      </c>
      <c r="W494" s="3">
        <v>124.67</v>
      </c>
    </row>
    <row r="495" spans="1:23" ht="60.75">
      <c r="A495" s="3" t="s">
        <v>23</v>
      </c>
      <c r="B495" s="3" t="s">
        <v>24</v>
      </c>
      <c r="C495" s="3" t="s">
        <v>35</v>
      </c>
      <c r="D495" s="3" t="s">
        <v>39</v>
      </c>
      <c r="E495" s="3" t="s">
        <v>32</v>
      </c>
      <c r="F495" s="3" t="s">
        <v>117</v>
      </c>
      <c r="G495" s="3">
        <v>2016</v>
      </c>
      <c r="H495" s="3" t="str">
        <f>CONCATENATE("64240410304")</f>
        <v>64240410304</v>
      </c>
      <c r="I495" s="3" t="s">
        <v>25</v>
      </c>
      <c r="J495" s="3" t="s">
        <v>26</v>
      </c>
      <c r="K495" s="3" t="str">
        <f t="shared" si="20"/>
        <v/>
      </c>
      <c r="L495" s="3" t="str">
        <f>CONCATENATE("11 11.1 4b")</f>
        <v>11 11.1 4b</v>
      </c>
      <c r="M495" s="3" t="str">
        <f>CONCATENATE("MSSPLA64L22D007O")</f>
        <v>MSSPLA64L22D007O</v>
      </c>
      <c r="N495" s="3" t="s">
        <v>607</v>
      </c>
      <c r="O495" s="3"/>
      <c r="P495" s="4">
        <v>42783</v>
      </c>
      <c r="Q495" s="3" t="s">
        <v>27</v>
      </c>
      <c r="R495" s="3" t="s">
        <v>28</v>
      </c>
      <c r="S495" s="3" t="s">
        <v>29</v>
      </c>
      <c r="T495" s="5">
        <v>3366.83</v>
      </c>
      <c r="U495" s="5">
        <v>1451.78</v>
      </c>
      <c r="V495" s="5">
        <v>1340.67</v>
      </c>
      <c r="W495" s="3">
        <v>574.38</v>
      </c>
    </row>
    <row r="496" spans="1:23" ht="72.75">
      <c r="A496" s="3" t="s">
        <v>23</v>
      </c>
      <c r="B496" s="3" t="s">
        <v>24</v>
      </c>
      <c r="C496" s="3" t="s">
        <v>35</v>
      </c>
      <c r="D496" s="3" t="s">
        <v>36</v>
      </c>
      <c r="E496" s="3" t="s">
        <v>30</v>
      </c>
      <c r="F496" s="3" t="s">
        <v>53</v>
      </c>
      <c r="G496" s="3">
        <v>2016</v>
      </c>
      <c r="H496" s="3" t="str">
        <f>CONCATENATE("64240644688")</f>
        <v>64240644688</v>
      </c>
      <c r="I496" s="3" t="s">
        <v>25</v>
      </c>
      <c r="J496" s="3" t="s">
        <v>26</v>
      </c>
      <c r="K496" s="3" t="str">
        <f t="shared" si="20"/>
        <v/>
      </c>
      <c r="L496" s="3" t="str">
        <f>CONCATENATE("11 11.2 4b")</f>
        <v>11 11.2 4b</v>
      </c>
      <c r="M496" s="3" t="str">
        <f>CONCATENATE("MCZGMB59M16B534U")</f>
        <v>MCZGMB59M16B534U</v>
      </c>
      <c r="N496" s="3" t="s">
        <v>608</v>
      </c>
      <c r="O496" s="3"/>
      <c r="P496" s="4">
        <v>42783</v>
      </c>
      <c r="Q496" s="3" t="s">
        <v>27</v>
      </c>
      <c r="R496" s="3" t="s">
        <v>28</v>
      </c>
      <c r="S496" s="3" t="s">
        <v>29</v>
      </c>
      <c r="T496" s="5">
        <v>1946.74</v>
      </c>
      <c r="U496" s="3">
        <v>839.43</v>
      </c>
      <c r="V496" s="3">
        <v>775.19</v>
      </c>
      <c r="W496" s="3">
        <v>332.12</v>
      </c>
    </row>
    <row r="497" spans="1:23" ht="60.75">
      <c r="A497" s="3" t="s">
        <v>23</v>
      </c>
      <c r="B497" s="3" t="s">
        <v>24</v>
      </c>
      <c r="C497" s="3" t="s">
        <v>35</v>
      </c>
      <c r="D497" s="3" t="s">
        <v>36</v>
      </c>
      <c r="E497" s="3" t="s">
        <v>32</v>
      </c>
      <c r="F497" s="3" t="s">
        <v>65</v>
      </c>
      <c r="G497" s="3">
        <v>2016</v>
      </c>
      <c r="H497" s="3" t="str">
        <f>CONCATENATE("64240588372")</f>
        <v>64240588372</v>
      </c>
      <c r="I497" s="3" t="s">
        <v>25</v>
      </c>
      <c r="J497" s="3" t="s">
        <v>26</v>
      </c>
      <c r="K497" s="3" t="str">
        <f t="shared" si="20"/>
        <v/>
      </c>
      <c r="L497" s="3" t="str">
        <f>CONCATENATE("11 11.2 4b")</f>
        <v>11 11.2 4b</v>
      </c>
      <c r="M497" s="3" t="str">
        <f>CONCATENATE("FLCLGU43H10G005W")</f>
        <v>FLCLGU43H10G005W</v>
      </c>
      <c r="N497" s="3" t="s">
        <v>609</v>
      </c>
      <c r="O497" s="3"/>
      <c r="P497" s="4">
        <v>42783</v>
      </c>
      <c r="Q497" s="3" t="s">
        <v>27</v>
      </c>
      <c r="R497" s="3" t="s">
        <v>28</v>
      </c>
      <c r="S497" s="3" t="s">
        <v>29</v>
      </c>
      <c r="T497" s="3">
        <v>807.81</v>
      </c>
      <c r="U497" s="3">
        <v>348.33</v>
      </c>
      <c r="V497" s="3">
        <v>321.67</v>
      </c>
      <c r="W497" s="3">
        <v>137.81</v>
      </c>
    </row>
    <row r="498" spans="1:23" ht="60.75">
      <c r="A498" s="3" t="s">
        <v>23</v>
      </c>
      <c r="B498" s="3" t="s">
        <v>24</v>
      </c>
      <c r="C498" s="3" t="s">
        <v>35</v>
      </c>
      <c r="D498" s="3" t="s">
        <v>43</v>
      </c>
      <c r="E498" s="3" t="s">
        <v>30</v>
      </c>
      <c r="F498" s="3" t="s">
        <v>124</v>
      </c>
      <c r="G498" s="3">
        <v>2016</v>
      </c>
      <c r="H498" s="3" t="str">
        <f>CONCATENATE("64210409476")</f>
        <v>64210409476</v>
      </c>
      <c r="I498" s="3" t="s">
        <v>25</v>
      </c>
      <c r="J498" s="3" t="s">
        <v>26</v>
      </c>
      <c r="K498" s="3" t="str">
        <f t="shared" si="20"/>
        <v/>
      </c>
      <c r="L498" s="3" t="str">
        <f>CONCATENATE("13 13.1 4a")</f>
        <v>13 13.1 4a</v>
      </c>
      <c r="M498" s="3" t="str">
        <f>CONCATENATE("GRRMSM69C15F135K")</f>
        <v>GRRMSM69C15F135K</v>
      </c>
      <c r="N498" s="3" t="s">
        <v>610</v>
      </c>
      <c r="O498" s="3"/>
      <c r="P498" s="4">
        <v>42783</v>
      </c>
      <c r="Q498" s="3" t="s">
        <v>27</v>
      </c>
      <c r="R498" s="3" t="s">
        <v>28</v>
      </c>
      <c r="S498" s="3" t="s">
        <v>29</v>
      </c>
      <c r="T498" s="5">
        <v>2307.81</v>
      </c>
      <c r="U498" s="3">
        <v>995.13</v>
      </c>
      <c r="V498" s="3">
        <v>918.97</v>
      </c>
      <c r="W498" s="3">
        <v>393.71</v>
      </c>
    </row>
    <row r="499" spans="1:23" ht="72.75">
      <c r="A499" s="3" t="s">
        <v>23</v>
      </c>
      <c r="B499" s="3" t="s">
        <v>24</v>
      </c>
      <c r="C499" s="3" t="s">
        <v>35</v>
      </c>
      <c r="D499" s="3" t="s">
        <v>43</v>
      </c>
      <c r="E499" s="3" t="s">
        <v>32</v>
      </c>
      <c r="F499" s="3" t="s">
        <v>44</v>
      </c>
      <c r="G499" s="3">
        <v>2016</v>
      </c>
      <c r="H499" s="3" t="str">
        <f>CONCATENATE("64240581153")</f>
        <v>64240581153</v>
      </c>
      <c r="I499" s="3" t="s">
        <v>25</v>
      </c>
      <c r="J499" s="3" t="s">
        <v>26</v>
      </c>
      <c r="K499" s="3" t="str">
        <f t="shared" si="20"/>
        <v/>
      </c>
      <c r="L499" s="3" t="str">
        <f>CONCATENATE("11 11.2 4b")</f>
        <v>11 11.2 4b</v>
      </c>
      <c r="M499" s="3" t="str">
        <f>CONCATENATE("SCRSNL54M57D749R")</f>
        <v>SCRSNL54M57D749R</v>
      </c>
      <c r="N499" s="3" t="s">
        <v>611</v>
      </c>
      <c r="O499" s="3"/>
      <c r="P499" s="4">
        <v>42783</v>
      </c>
      <c r="Q499" s="3" t="s">
        <v>27</v>
      </c>
      <c r="R499" s="3" t="s">
        <v>28</v>
      </c>
      <c r="S499" s="3" t="s">
        <v>29</v>
      </c>
      <c r="T499" s="3">
        <v>942.73</v>
      </c>
      <c r="U499" s="3">
        <v>406.51</v>
      </c>
      <c r="V499" s="3">
        <v>375.4</v>
      </c>
      <c r="W499" s="3">
        <v>160.82</v>
      </c>
    </row>
    <row r="500" spans="1:23" ht="60.75">
      <c r="A500" s="3" t="s">
        <v>23</v>
      </c>
      <c r="B500" s="3" t="s">
        <v>24</v>
      </c>
      <c r="C500" s="3" t="s">
        <v>35</v>
      </c>
      <c r="D500" s="3" t="s">
        <v>36</v>
      </c>
      <c r="E500" s="3" t="s">
        <v>42</v>
      </c>
      <c r="F500" s="3" t="s">
        <v>42</v>
      </c>
      <c r="G500" s="3">
        <v>2016</v>
      </c>
      <c r="H500" s="3" t="str">
        <f>CONCATENATE("64240053690")</f>
        <v>64240053690</v>
      </c>
      <c r="I500" s="3" t="s">
        <v>25</v>
      </c>
      <c r="J500" s="3" t="s">
        <v>26</v>
      </c>
      <c r="K500" s="3" t="str">
        <f t="shared" si="20"/>
        <v/>
      </c>
      <c r="L500" s="3" t="str">
        <f>CONCATENATE("11 11.2 4b")</f>
        <v>11 11.2 4b</v>
      </c>
      <c r="M500" s="3" t="str">
        <f>CONCATENATE("MLNGPP49H52C877H")</f>
        <v>MLNGPP49H52C877H</v>
      </c>
      <c r="N500" s="3" t="s">
        <v>612</v>
      </c>
      <c r="O500" s="3"/>
      <c r="P500" s="4">
        <v>42783</v>
      </c>
      <c r="Q500" s="3" t="s">
        <v>27</v>
      </c>
      <c r="R500" s="3" t="s">
        <v>28</v>
      </c>
      <c r="S500" s="3" t="s">
        <v>29</v>
      </c>
      <c r="T500" s="5">
        <v>5251.82</v>
      </c>
      <c r="U500" s="5">
        <v>2264.58</v>
      </c>
      <c r="V500" s="5">
        <v>2091.27</v>
      </c>
      <c r="W500" s="3">
        <v>895.97</v>
      </c>
    </row>
    <row r="501" spans="1:23" ht="36.75">
      <c r="A501" s="3" t="s">
        <v>23</v>
      </c>
      <c r="B501" s="3" t="s">
        <v>24</v>
      </c>
      <c r="C501" s="3" t="s">
        <v>35</v>
      </c>
      <c r="D501" s="3" t="s">
        <v>43</v>
      </c>
      <c r="E501" s="3" t="s">
        <v>49</v>
      </c>
      <c r="F501" s="3" t="s">
        <v>139</v>
      </c>
      <c r="G501" s="3">
        <v>2016</v>
      </c>
      <c r="H501" s="3" t="str">
        <f>CONCATENATE("64240385696")</f>
        <v>64240385696</v>
      </c>
      <c r="I501" s="3" t="s">
        <v>31</v>
      </c>
      <c r="J501" s="3" t="s">
        <v>26</v>
      </c>
      <c r="K501" s="3" t="str">
        <f t="shared" si="20"/>
        <v/>
      </c>
      <c r="L501" s="3" t="str">
        <f>CONCATENATE("11 11.2 4b")</f>
        <v>11 11.2 4b</v>
      </c>
      <c r="M501" s="3" t="str">
        <f>CONCATENATE("02334350416")</f>
        <v>02334350416</v>
      </c>
      <c r="N501" s="3" t="s">
        <v>613</v>
      </c>
      <c r="O501" s="3"/>
      <c r="P501" s="4">
        <v>42783</v>
      </c>
      <c r="Q501" s="3" t="s">
        <v>27</v>
      </c>
      <c r="R501" s="3" t="s">
        <v>28</v>
      </c>
      <c r="S501" s="3" t="s">
        <v>29</v>
      </c>
      <c r="T501" s="5">
        <v>2087.14</v>
      </c>
      <c r="U501" s="3">
        <v>899.97</v>
      </c>
      <c r="V501" s="3">
        <v>831.1</v>
      </c>
      <c r="W501" s="3">
        <v>356.07</v>
      </c>
    </row>
    <row r="502" spans="1:23" ht="72.75">
      <c r="A502" s="3" t="s">
        <v>23</v>
      </c>
      <c r="B502" s="3" t="s">
        <v>24</v>
      </c>
      <c r="C502" s="3" t="s">
        <v>35</v>
      </c>
      <c r="D502" s="3" t="s">
        <v>43</v>
      </c>
      <c r="E502" s="3" t="s">
        <v>32</v>
      </c>
      <c r="F502" s="3" t="s">
        <v>119</v>
      </c>
      <c r="G502" s="3">
        <v>2016</v>
      </c>
      <c r="H502" s="3" t="str">
        <f>CONCATENATE("64240262697")</f>
        <v>64240262697</v>
      </c>
      <c r="I502" s="3" t="s">
        <v>25</v>
      </c>
      <c r="J502" s="3" t="s">
        <v>26</v>
      </c>
      <c r="K502" s="3" t="str">
        <f t="shared" si="20"/>
        <v/>
      </c>
      <c r="L502" s="3" t="str">
        <f>CONCATENATE("11 11.1 4b")</f>
        <v>11 11.1 4b</v>
      </c>
      <c r="M502" s="3" t="str">
        <f>CONCATENATE("CPTMNT56A44D791R")</f>
        <v>CPTMNT56A44D791R</v>
      </c>
      <c r="N502" s="3" t="s">
        <v>614</v>
      </c>
      <c r="O502" s="3"/>
      <c r="P502" s="4">
        <v>42783</v>
      </c>
      <c r="Q502" s="3" t="s">
        <v>27</v>
      </c>
      <c r="R502" s="3" t="s">
        <v>28</v>
      </c>
      <c r="S502" s="3" t="s">
        <v>29</v>
      </c>
      <c r="T502" s="5">
        <v>2421.1799999999998</v>
      </c>
      <c r="U502" s="5">
        <v>1044.01</v>
      </c>
      <c r="V502" s="3">
        <v>964.11</v>
      </c>
      <c r="W502" s="3">
        <v>413.06</v>
      </c>
    </row>
    <row r="503" spans="1:23" ht="60.75">
      <c r="A503" s="3" t="s">
        <v>23</v>
      </c>
      <c r="B503" s="3" t="s">
        <v>24</v>
      </c>
      <c r="C503" s="3" t="s">
        <v>35</v>
      </c>
      <c r="D503" s="3" t="s">
        <v>39</v>
      </c>
      <c r="E503" s="3" t="s">
        <v>30</v>
      </c>
      <c r="F503" s="3" t="s">
        <v>533</v>
      </c>
      <c r="G503" s="3">
        <v>2016</v>
      </c>
      <c r="H503" s="3" t="str">
        <f>CONCATENATE("64240247466")</f>
        <v>64240247466</v>
      </c>
      <c r="I503" s="3" t="s">
        <v>25</v>
      </c>
      <c r="J503" s="3" t="s">
        <v>26</v>
      </c>
      <c r="K503" s="3" t="str">
        <f t="shared" si="20"/>
        <v/>
      </c>
      <c r="L503" s="3" t="str">
        <f t="shared" ref="L503:L515" si="21">CONCATENATE("11 11.2 4b")</f>
        <v>11 11.2 4b</v>
      </c>
      <c r="M503" s="3" t="str">
        <f>CONCATENATE("MLTSML56B09F453A")</f>
        <v>MLTSML56B09F453A</v>
      </c>
      <c r="N503" s="3" t="s">
        <v>615</v>
      </c>
      <c r="O503" s="3"/>
      <c r="P503" s="4">
        <v>42783</v>
      </c>
      <c r="Q503" s="3" t="s">
        <v>27</v>
      </c>
      <c r="R503" s="3" t="s">
        <v>28</v>
      </c>
      <c r="S503" s="3" t="s">
        <v>29</v>
      </c>
      <c r="T503" s="5">
        <v>1137.05</v>
      </c>
      <c r="U503" s="3">
        <v>490.3</v>
      </c>
      <c r="V503" s="3">
        <v>452.77</v>
      </c>
      <c r="W503" s="3">
        <v>193.98</v>
      </c>
    </row>
    <row r="504" spans="1:23" ht="60.75">
      <c r="A504" s="3" t="s">
        <v>23</v>
      </c>
      <c r="B504" s="3" t="s">
        <v>24</v>
      </c>
      <c r="C504" s="3" t="s">
        <v>35</v>
      </c>
      <c r="D504" s="3" t="s">
        <v>36</v>
      </c>
      <c r="E504" s="3" t="s">
        <v>32</v>
      </c>
      <c r="F504" s="3" t="s">
        <v>616</v>
      </c>
      <c r="G504" s="3">
        <v>2016</v>
      </c>
      <c r="H504" s="3" t="str">
        <f>CONCATENATE("64240649653")</f>
        <v>64240649653</v>
      </c>
      <c r="I504" s="3" t="s">
        <v>25</v>
      </c>
      <c r="J504" s="3" t="s">
        <v>26</v>
      </c>
      <c r="K504" s="3" t="str">
        <f t="shared" si="20"/>
        <v/>
      </c>
      <c r="L504" s="3" t="str">
        <f t="shared" si="21"/>
        <v>11 11.2 4b</v>
      </c>
      <c r="M504" s="3" t="str">
        <f>CONCATENATE("SCBDRN58S27E208O")</f>
        <v>SCBDRN58S27E208O</v>
      </c>
      <c r="N504" s="3" t="s">
        <v>617</v>
      </c>
      <c r="O504" s="3"/>
      <c r="P504" s="4">
        <v>42783</v>
      </c>
      <c r="Q504" s="3" t="s">
        <v>27</v>
      </c>
      <c r="R504" s="3" t="s">
        <v>28</v>
      </c>
      <c r="S504" s="3" t="s">
        <v>29</v>
      </c>
      <c r="T504" s="3">
        <v>719.43</v>
      </c>
      <c r="U504" s="3">
        <v>310.22000000000003</v>
      </c>
      <c r="V504" s="3">
        <v>286.48</v>
      </c>
      <c r="W504" s="3">
        <v>122.73</v>
      </c>
    </row>
    <row r="505" spans="1:23" ht="60.75">
      <c r="A505" s="3" t="s">
        <v>23</v>
      </c>
      <c r="B505" s="3" t="s">
        <v>24</v>
      </c>
      <c r="C505" s="3" t="s">
        <v>35</v>
      </c>
      <c r="D505" s="3" t="s">
        <v>48</v>
      </c>
      <c r="E505" s="3" t="s">
        <v>30</v>
      </c>
      <c r="F505" s="3" t="s">
        <v>157</v>
      </c>
      <c r="G505" s="3">
        <v>2016</v>
      </c>
      <c r="H505" s="3" t="str">
        <f>CONCATENATE("64240146890")</f>
        <v>64240146890</v>
      </c>
      <c r="I505" s="3" t="s">
        <v>25</v>
      </c>
      <c r="J505" s="3" t="s">
        <v>26</v>
      </c>
      <c r="K505" s="3" t="str">
        <f t="shared" si="20"/>
        <v/>
      </c>
      <c r="L505" s="3" t="str">
        <f t="shared" si="21"/>
        <v>11 11.2 4b</v>
      </c>
      <c r="M505" s="3" t="str">
        <f>CONCATENATE("FCNLSN56L12B160E")</f>
        <v>FCNLSN56L12B160E</v>
      </c>
      <c r="N505" s="3" t="s">
        <v>618</v>
      </c>
      <c r="O505" s="3"/>
      <c r="P505" s="4">
        <v>42783</v>
      </c>
      <c r="Q505" s="3" t="s">
        <v>27</v>
      </c>
      <c r="R505" s="3" t="s">
        <v>28</v>
      </c>
      <c r="S505" s="3" t="s">
        <v>29</v>
      </c>
      <c r="T505" s="3">
        <v>855.77</v>
      </c>
      <c r="U505" s="3">
        <v>369.01</v>
      </c>
      <c r="V505" s="3">
        <v>340.77</v>
      </c>
      <c r="W505" s="3">
        <v>145.99</v>
      </c>
    </row>
    <row r="506" spans="1:23" ht="60.75">
      <c r="A506" s="3" t="s">
        <v>23</v>
      </c>
      <c r="B506" s="3" t="s">
        <v>24</v>
      </c>
      <c r="C506" s="3" t="s">
        <v>35</v>
      </c>
      <c r="D506" s="3" t="s">
        <v>48</v>
      </c>
      <c r="E506" s="3" t="s">
        <v>32</v>
      </c>
      <c r="F506" s="3" t="s">
        <v>129</v>
      </c>
      <c r="G506" s="3">
        <v>2016</v>
      </c>
      <c r="H506" s="3" t="str">
        <f>CONCATENATE("64240681409")</f>
        <v>64240681409</v>
      </c>
      <c r="I506" s="3" t="s">
        <v>25</v>
      </c>
      <c r="J506" s="3" t="s">
        <v>26</v>
      </c>
      <c r="K506" s="3" t="str">
        <f t="shared" si="20"/>
        <v/>
      </c>
      <c r="L506" s="3" t="str">
        <f t="shared" si="21"/>
        <v>11 11.2 4b</v>
      </c>
      <c r="M506" s="3" t="str">
        <f>CONCATENATE("MRBMLL71M55G436T")</f>
        <v>MRBMLL71M55G436T</v>
      </c>
      <c r="N506" s="3" t="s">
        <v>619</v>
      </c>
      <c r="O506" s="3"/>
      <c r="P506" s="4">
        <v>42783</v>
      </c>
      <c r="Q506" s="3" t="s">
        <v>27</v>
      </c>
      <c r="R506" s="3" t="s">
        <v>28</v>
      </c>
      <c r="S506" s="3" t="s">
        <v>29</v>
      </c>
      <c r="T506" s="5">
        <v>2044.18</v>
      </c>
      <c r="U506" s="3">
        <v>881.45</v>
      </c>
      <c r="V506" s="3">
        <v>813.99</v>
      </c>
      <c r="W506" s="3">
        <v>348.74</v>
      </c>
    </row>
    <row r="507" spans="1:23" ht="60.75">
      <c r="A507" s="3" t="s">
        <v>23</v>
      </c>
      <c r="B507" s="3" t="s">
        <v>24</v>
      </c>
      <c r="C507" s="3" t="s">
        <v>35</v>
      </c>
      <c r="D507" s="3" t="s">
        <v>43</v>
      </c>
      <c r="E507" s="3" t="s">
        <v>30</v>
      </c>
      <c r="F507" s="3" t="s">
        <v>131</v>
      </c>
      <c r="G507" s="3">
        <v>2016</v>
      </c>
      <c r="H507" s="3" t="str">
        <f>CONCATENATE("64240781340")</f>
        <v>64240781340</v>
      </c>
      <c r="I507" s="3" t="s">
        <v>25</v>
      </c>
      <c r="J507" s="3" t="s">
        <v>26</v>
      </c>
      <c r="K507" s="3" t="str">
        <f t="shared" si="20"/>
        <v/>
      </c>
      <c r="L507" s="3" t="str">
        <f t="shared" si="21"/>
        <v>11 11.2 4b</v>
      </c>
      <c r="M507" s="3" t="str">
        <f>CONCATENATE("LCRLRT78R22D749H")</f>
        <v>LCRLRT78R22D749H</v>
      </c>
      <c r="N507" s="3" t="s">
        <v>620</v>
      </c>
      <c r="O507" s="3"/>
      <c r="P507" s="4">
        <v>42783</v>
      </c>
      <c r="Q507" s="3" t="s">
        <v>27</v>
      </c>
      <c r="R507" s="3" t="s">
        <v>28</v>
      </c>
      <c r="S507" s="3" t="s">
        <v>29</v>
      </c>
      <c r="T507" s="5">
        <v>1663.58</v>
      </c>
      <c r="U507" s="3">
        <v>717.34</v>
      </c>
      <c r="V507" s="3">
        <v>662.44</v>
      </c>
      <c r="W507" s="3">
        <v>283.8</v>
      </c>
    </row>
    <row r="508" spans="1:23" ht="60.75">
      <c r="A508" s="3" t="s">
        <v>23</v>
      </c>
      <c r="B508" s="3" t="s">
        <v>24</v>
      </c>
      <c r="C508" s="3" t="s">
        <v>35</v>
      </c>
      <c r="D508" s="3" t="s">
        <v>48</v>
      </c>
      <c r="E508" s="3" t="s">
        <v>30</v>
      </c>
      <c r="F508" s="3" t="s">
        <v>57</v>
      </c>
      <c r="G508" s="3">
        <v>2016</v>
      </c>
      <c r="H508" s="3" t="str">
        <f>CONCATENATE("64240393559")</f>
        <v>64240393559</v>
      </c>
      <c r="I508" s="3" t="s">
        <v>25</v>
      </c>
      <c r="J508" s="3" t="s">
        <v>26</v>
      </c>
      <c r="K508" s="3" t="str">
        <f t="shared" si="20"/>
        <v/>
      </c>
      <c r="L508" s="3" t="str">
        <f t="shared" si="21"/>
        <v>11 11.2 4b</v>
      </c>
      <c r="M508" s="3" t="str">
        <f>CONCATENATE("CCCMTN86B42L191B")</f>
        <v>CCCMTN86B42L191B</v>
      </c>
      <c r="N508" s="3" t="s">
        <v>621</v>
      </c>
      <c r="O508" s="3"/>
      <c r="P508" s="4">
        <v>42783</v>
      </c>
      <c r="Q508" s="3" t="s">
        <v>27</v>
      </c>
      <c r="R508" s="3" t="s">
        <v>28</v>
      </c>
      <c r="S508" s="3" t="s">
        <v>29</v>
      </c>
      <c r="T508" s="5">
        <v>2334.96</v>
      </c>
      <c r="U508" s="5">
        <v>1006.83</v>
      </c>
      <c r="V508" s="3">
        <v>929.78</v>
      </c>
      <c r="W508" s="3">
        <v>398.35</v>
      </c>
    </row>
    <row r="509" spans="1:23" ht="60.75">
      <c r="A509" s="3" t="s">
        <v>23</v>
      </c>
      <c r="B509" s="3" t="s">
        <v>24</v>
      </c>
      <c r="C509" s="3" t="s">
        <v>35</v>
      </c>
      <c r="D509" s="3" t="s">
        <v>39</v>
      </c>
      <c r="E509" s="3" t="s">
        <v>32</v>
      </c>
      <c r="F509" s="3" t="s">
        <v>117</v>
      </c>
      <c r="G509" s="3">
        <v>2016</v>
      </c>
      <c r="H509" s="3" t="str">
        <f>CONCATENATE("64240485918")</f>
        <v>64240485918</v>
      </c>
      <c r="I509" s="3" t="s">
        <v>25</v>
      </c>
      <c r="J509" s="3" t="s">
        <v>26</v>
      </c>
      <c r="K509" s="3" t="str">
        <f t="shared" si="20"/>
        <v/>
      </c>
      <c r="L509" s="3" t="str">
        <f t="shared" si="21"/>
        <v>11 11.2 4b</v>
      </c>
      <c r="M509" s="3" t="str">
        <f>CONCATENATE("BCLLNR53T61D007H")</f>
        <v>BCLLNR53T61D007H</v>
      </c>
      <c r="N509" s="3" t="s">
        <v>622</v>
      </c>
      <c r="O509" s="3"/>
      <c r="P509" s="4">
        <v>42783</v>
      </c>
      <c r="Q509" s="3" t="s">
        <v>27</v>
      </c>
      <c r="R509" s="3" t="s">
        <v>28</v>
      </c>
      <c r="S509" s="3" t="s">
        <v>29</v>
      </c>
      <c r="T509" s="3">
        <v>720.85</v>
      </c>
      <c r="U509" s="3">
        <v>310.83</v>
      </c>
      <c r="V509" s="3">
        <v>287.04000000000002</v>
      </c>
      <c r="W509" s="3">
        <v>122.98</v>
      </c>
    </row>
    <row r="510" spans="1:23" ht="60.75">
      <c r="A510" s="3" t="s">
        <v>23</v>
      </c>
      <c r="B510" s="3" t="s">
        <v>24</v>
      </c>
      <c r="C510" s="3" t="s">
        <v>35</v>
      </c>
      <c r="D510" s="3" t="s">
        <v>48</v>
      </c>
      <c r="E510" s="3" t="s">
        <v>30</v>
      </c>
      <c r="F510" s="3" t="s">
        <v>57</v>
      </c>
      <c r="G510" s="3">
        <v>2016</v>
      </c>
      <c r="H510" s="3" t="str">
        <f>CONCATENATE("64240509659")</f>
        <v>64240509659</v>
      </c>
      <c r="I510" s="3" t="s">
        <v>25</v>
      </c>
      <c r="J510" s="3" t="s">
        <v>26</v>
      </c>
      <c r="K510" s="3" t="str">
        <f t="shared" si="20"/>
        <v/>
      </c>
      <c r="L510" s="3" t="str">
        <f t="shared" si="21"/>
        <v>11 11.2 4b</v>
      </c>
      <c r="M510" s="3" t="str">
        <f>CONCATENATE("CRFLLD50R29B550N")</f>
        <v>CRFLLD50R29B550N</v>
      </c>
      <c r="N510" s="3" t="s">
        <v>623</v>
      </c>
      <c r="O510" s="3"/>
      <c r="P510" s="4">
        <v>42783</v>
      </c>
      <c r="Q510" s="3" t="s">
        <v>27</v>
      </c>
      <c r="R510" s="3" t="s">
        <v>28</v>
      </c>
      <c r="S510" s="3" t="s">
        <v>29</v>
      </c>
      <c r="T510" s="5">
        <v>1208.1400000000001</v>
      </c>
      <c r="U510" s="3">
        <v>520.95000000000005</v>
      </c>
      <c r="V510" s="3">
        <v>481.08</v>
      </c>
      <c r="W510" s="3">
        <v>206.11</v>
      </c>
    </row>
    <row r="511" spans="1:23" ht="60.75">
      <c r="A511" s="3" t="s">
        <v>23</v>
      </c>
      <c r="B511" s="3" t="s">
        <v>24</v>
      </c>
      <c r="C511" s="3" t="s">
        <v>35</v>
      </c>
      <c r="D511" s="3" t="s">
        <v>48</v>
      </c>
      <c r="E511" s="3" t="s">
        <v>49</v>
      </c>
      <c r="F511" s="3" t="s">
        <v>50</v>
      </c>
      <c r="G511" s="3">
        <v>2016</v>
      </c>
      <c r="H511" s="3" t="str">
        <f>CONCATENATE("64240847018")</f>
        <v>64240847018</v>
      </c>
      <c r="I511" s="3" t="s">
        <v>25</v>
      </c>
      <c r="J511" s="3" t="s">
        <v>26</v>
      </c>
      <c r="K511" s="3" t="str">
        <f t="shared" si="20"/>
        <v/>
      </c>
      <c r="L511" s="3" t="str">
        <f t="shared" si="21"/>
        <v>11 11.2 4b</v>
      </c>
      <c r="M511" s="3" t="str">
        <f>CONCATENATE("SCLMRC88D03D024S")</f>
        <v>SCLMRC88D03D024S</v>
      </c>
      <c r="N511" s="3" t="s">
        <v>624</v>
      </c>
      <c r="O511" s="3"/>
      <c r="P511" s="4">
        <v>42783</v>
      </c>
      <c r="Q511" s="3" t="s">
        <v>27</v>
      </c>
      <c r="R511" s="3" t="s">
        <v>28</v>
      </c>
      <c r="S511" s="3" t="s">
        <v>29</v>
      </c>
      <c r="T511" s="5">
        <v>6905.62</v>
      </c>
      <c r="U511" s="5">
        <v>2977.7</v>
      </c>
      <c r="V511" s="5">
        <v>2749.82</v>
      </c>
      <c r="W511" s="5">
        <v>1178.0999999999999</v>
      </c>
    </row>
    <row r="512" spans="1:23" ht="60.75">
      <c r="A512" s="3" t="s">
        <v>23</v>
      </c>
      <c r="B512" s="3" t="s">
        <v>24</v>
      </c>
      <c r="C512" s="3" t="s">
        <v>35</v>
      </c>
      <c r="D512" s="3" t="s">
        <v>48</v>
      </c>
      <c r="E512" s="3" t="s">
        <v>30</v>
      </c>
      <c r="F512" s="3" t="s">
        <v>157</v>
      </c>
      <c r="G512" s="3">
        <v>2016</v>
      </c>
      <c r="H512" s="3" t="str">
        <f>CONCATENATE("64240461653")</f>
        <v>64240461653</v>
      </c>
      <c r="I512" s="3" t="s">
        <v>25</v>
      </c>
      <c r="J512" s="3" t="s">
        <v>26</v>
      </c>
      <c r="K512" s="3" t="str">
        <f t="shared" si="20"/>
        <v/>
      </c>
      <c r="L512" s="3" t="str">
        <f t="shared" si="21"/>
        <v>11 11.2 4b</v>
      </c>
      <c r="M512" s="3" t="str">
        <f>CONCATENATE("GRDPRM44C16G436L")</f>
        <v>GRDPRM44C16G436L</v>
      </c>
      <c r="N512" s="3" t="s">
        <v>625</v>
      </c>
      <c r="O512" s="3"/>
      <c r="P512" s="4">
        <v>42783</v>
      </c>
      <c r="Q512" s="3" t="s">
        <v>27</v>
      </c>
      <c r="R512" s="3" t="s">
        <v>28</v>
      </c>
      <c r="S512" s="3" t="s">
        <v>29</v>
      </c>
      <c r="T512" s="5">
        <v>2506.29</v>
      </c>
      <c r="U512" s="5">
        <v>1080.71</v>
      </c>
      <c r="V512" s="3">
        <v>998</v>
      </c>
      <c r="W512" s="3">
        <v>427.58</v>
      </c>
    </row>
    <row r="513" spans="1:23" ht="60.75">
      <c r="A513" s="3" t="s">
        <v>23</v>
      </c>
      <c r="B513" s="3" t="s">
        <v>24</v>
      </c>
      <c r="C513" s="3" t="s">
        <v>35</v>
      </c>
      <c r="D513" s="3" t="s">
        <v>36</v>
      </c>
      <c r="E513" s="3" t="s">
        <v>33</v>
      </c>
      <c r="F513" s="3" t="s">
        <v>89</v>
      </c>
      <c r="G513" s="3">
        <v>2016</v>
      </c>
      <c r="H513" s="3" t="str">
        <f>CONCATENATE("64240465266")</f>
        <v>64240465266</v>
      </c>
      <c r="I513" s="3" t="s">
        <v>25</v>
      </c>
      <c r="J513" s="3" t="s">
        <v>26</v>
      </c>
      <c r="K513" s="3" t="str">
        <f t="shared" si="20"/>
        <v/>
      </c>
      <c r="L513" s="3" t="str">
        <f t="shared" si="21"/>
        <v>11 11.2 4b</v>
      </c>
      <c r="M513" s="3" t="str">
        <f>CONCATENATE("DNGSRG75P14A462S")</f>
        <v>DNGSRG75P14A462S</v>
      </c>
      <c r="N513" s="3" t="s">
        <v>626</v>
      </c>
      <c r="O513" s="3"/>
      <c r="P513" s="4">
        <v>42783</v>
      </c>
      <c r="Q513" s="3" t="s">
        <v>27</v>
      </c>
      <c r="R513" s="3" t="s">
        <v>28</v>
      </c>
      <c r="S513" s="3" t="s">
        <v>29</v>
      </c>
      <c r="T513" s="5">
        <v>2259.6</v>
      </c>
      <c r="U513" s="3">
        <v>974.34</v>
      </c>
      <c r="V513" s="3">
        <v>899.77</v>
      </c>
      <c r="W513" s="3">
        <v>385.49</v>
      </c>
    </row>
    <row r="514" spans="1:23" ht="60.75">
      <c r="A514" s="3" t="s">
        <v>23</v>
      </c>
      <c r="B514" s="3" t="s">
        <v>24</v>
      </c>
      <c r="C514" s="3" t="s">
        <v>35</v>
      </c>
      <c r="D514" s="3" t="s">
        <v>39</v>
      </c>
      <c r="E514" s="3" t="s">
        <v>32</v>
      </c>
      <c r="F514" s="3" t="s">
        <v>69</v>
      </c>
      <c r="G514" s="3">
        <v>2016</v>
      </c>
      <c r="H514" s="3" t="str">
        <f>CONCATENATE("64240596185")</f>
        <v>64240596185</v>
      </c>
      <c r="I514" s="3" t="s">
        <v>25</v>
      </c>
      <c r="J514" s="3" t="s">
        <v>26</v>
      </c>
      <c r="K514" s="3" t="str">
        <f t="shared" si="20"/>
        <v/>
      </c>
      <c r="L514" s="3" t="str">
        <f t="shared" si="21"/>
        <v>11 11.2 4b</v>
      </c>
      <c r="M514" s="3" t="str">
        <f>CONCATENATE("CLDNLS83C09I608S")</f>
        <v>CLDNLS83C09I608S</v>
      </c>
      <c r="N514" s="3" t="s">
        <v>627</v>
      </c>
      <c r="O514" s="3"/>
      <c r="P514" s="4">
        <v>42783</v>
      </c>
      <c r="Q514" s="3" t="s">
        <v>27</v>
      </c>
      <c r="R514" s="3" t="s">
        <v>28</v>
      </c>
      <c r="S514" s="3" t="s">
        <v>29</v>
      </c>
      <c r="T514" s="5">
        <v>7288.56</v>
      </c>
      <c r="U514" s="5">
        <v>3142.83</v>
      </c>
      <c r="V514" s="5">
        <v>2902.3</v>
      </c>
      <c r="W514" s="5">
        <v>1243.43</v>
      </c>
    </row>
    <row r="515" spans="1:23" ht="60.75">
      <c r="A515" s="3" t="s">
        <v>23</v>
      </c>
      <c r="B515" s="3" t="s">
        <v>24</v>
      </c>
      <c r="C515" s="3" t="s">
        <v>35</v>
      </c>
      <c r="D515" s="3" t="s">
        <v>39</v>
      </c>
      <c r="E515" s="3" t="s">
        <v>32</v>
      </c>
      <c r="F515" s="3" t="s">
        <v>69</v>
      </c>
      <c r="G515" s="3">
        <v>2016</v>
      </c>
      <c r="H515" s="3" t="str">
        <f>CONCATENATE("64240510061")</f>
        <v>64240510061</v>
      </c>
      <c r="I515" s="3" t="s">
        <v>25</v>
      </c>
      <c r="J515" s="3" t="s">
        <v>26</v>
      </c>
      <c r="K515" s="3" t="str">
        <f t="shared" si="20"/>
        <v/>
      </c>
      <c r="L515" s="3" t="str">
        <f t="shared" si="21"/>
        <v>11 11.2 4b</v>
      </c>
      <c r="M515" s="3" t="str">
        <f>CONCATENATE("VLDSTS77H44Z504X")</f>
        <v>VLDSTS77H44Z504X</v>
      </c>
      <c r="N515" s="3" t="s">
        <v>628</v>
      </c>
      <c r="O515" s="3"/>
      <c r="P515" s="4">
        <v>42783</v>
      </c>
      <c r="Q515" s="3" t="s">
        <v>27</v>
      </c>
      <c r="R515" s="3" t="s">
        <v>28</v>
      </c>
      <c r="S515" s="3" t="s">
        <v>29</v>
      </c>
      <c r="T515" s="5">
        <v>1047.58</v>
      </c>
      <c r="U515" s="3">
        <v>451.72</v>
      </c>
      <c r="V515" s="3">
        <v>417.15</v>
      </c>
      <c r="W515" s="3">
        <v>178.71</v>
      </c>
    </row>
    <row r="516" spans="1:23" ht="60.75">
      <c r="A516" s="3" t="s">
        <v>23</v>
      </c>
      <c r="B516" s="3" t="s">
        <v>24</v>
      </c>
      <c r="C516" s="3" t="s">
        <v>35</v>
      </c>
      <c r="D516" s="3" t="s">
        <v>43</v>
      </c>
      <c r="E516" s="3" t="s">
        <v>30</v>
      </c>
      <c r="F516" s="3" t="s">
        <v>131</v>
      </c>
      <c r="G516" s="3">
        <v>2016</v>
      </c>
      <c r="H516" s="3" t="str">
        <f>CONCATENATE("64240426490")</f>
        <v>64240426490</v>
      </c>
      <c r="I516" s="3" t="s">
        <v>25</v>
      </c>
      <c r="J516" s="3" t="s">
        <v>26</v>
      </c>
      <c r="K516" s="3" t="str">
        <f t="shared" si="20"/>
        <v/>
      </c>
      <c r="L516" s="3" t="str">
        <f>CONCATENATE("11 11.1 4b")</f>
        <v>11 11.1 4b</v>
      </c>
      <c r="M516" s="3" t="str">
        <f>CONCATENATE("CNGGNN89D22I608A")</f>
        <v>CNGGNN89D22I608A</v>
      </c>
      <c r="N516" s="3" t="s">
        <v>629</v>
      </c>
      <c r="O516" s="3"/>
      <c r="P516" s="4">
        <v>42783</v>
      </c>
      <c r="Q516" s="3" t="s">
        <v>27</v>
      </c>
      <c r="R516" s="3" t="s">
        <v>28</v>
      </c>
      <c r="S516" s="3" t="s">
        <v>29</v>
      </c>
      <c r="T516" s="5">
        <v>5435.95</v>
      </c>
      <c r="U516" s="5">
        <v>2343.98</v>
      </c>
      <c r="V516" s="5">
        <v>2164.6</v>
      </c>
      <c r="W516" s="3">
        <v>927.37</v>
      </c>
    </row>
    <row r="517" spans="1:23" ht="60.75">
      <c r="A517" s="3" t="s">
        <v>23</v>
      </c>
      <c r="B517" s="3" t="s">
        <v>24</v>
      </c>
      <c r="C517" s="3" t="s">
        <v>35</v>
      </c>
      <c r="D517" s="3" t="s">
        <v>48</v>
      </c>
      <c r="E517" s="3" t="s">
        <v>49</v>
      </c>
      <c r="F517" s="3" t="s">
        <v>74</v>
      </c>
      <c r="G517" s="3">
        <v>2016</v>
      </c>
      <c r="H517" s="3" t="str">
        <f>CONCATENATE("64240323739")</f>
        <v>64240323739</v>
      </c>
      <c r="I517" s="3" t="s">
        <v>25</v>
      </c>
      <c r="J517" s="3" t="s">
        <v>26</v>
      </c>
      <c r="K517" s="3" t="str">
        <f t="shared" si="20"/>
        <v/>
      </c>
      <c r="L517" s="3" t="str">
        <f>CONCATENATE("11 11.1 4b")</f>
        <v>11 11.1 4b</v>
      </c>
      <c r="M517" s="3" t="str">
        <f>CONCATENATE("VNCMNL71D55H501E")</f>
        <v>VNCMNL71D55H501E</v>
      </c>
      <c r="N517" s="3" t="s">
        <v>630</v>
      </c>
      <c r="O517" s="3"/>
      <c r="P517" s="4">
        <v>42783</v>
      </c>
      <c r="Q517" s="3" t="s">
        <v>27</v>
      </c>
      <c r="R517" s="3" t="s">
        <v>28</v>
      </c>
      <c r="S517" s="3" t="s">
        <v>29</v>
      </c>
      <c r="T517" s="5">
        <v>1498.3</v>
      </c>
      <c r="U517" s="3">
        <v>646.07000000000005</v>
      </c>
      <c r="V517" s="3">
        <v>596.62</v>
      </c>
      <c r="W517" s="3">
        <v>255.61</v>
      </c>
    </row>
    <row r="518" spans="1:23" ht="60.75">
      <c r="A518" s="3" t="s">
        <v>23</v>
      </c>
      <c r="B518" s="3" t="s">
        <v>24</v>
      </c>
      <c r="C518" s="3" t="s">
        <v>35</v>
      </c>
      <c r="D518" s="3" t="s">
        <v>36</v>
      </c>
      <c r="E518" s="3" t="s">
        <v>30</v>
      </c>
      <c r="F518" s="3" t="s">
        <v>323</v>
      </c>
      <c r="G518" s="3">
        <v>2016</v>
      </c>
      <c r="H518" s="3" t="str">
        <f>CONCATENATE("64240886024")</f>
        <v>64240886024</v>
      </c>
      <c r="I518" s="3" t="s">
        <v>25</v>
      </c>
      <c r="J518" s="3" t="s">
        <v>26</v>
      </c>
      <c r="K518" s="3" t="str">
        <f t="shared" si="20"/>
        <v/>
      </c>
      <c r="L518" s="3" t="str">
        <f>CONCATENATE("11 11.2 4b")</f>
        <v>11 11.2 4b</v>
      </c>
      <c r="M518" s="3" t="str">
        <f>CONCATENATE("CMLRNI68R48G005K")</f>
        <v>CMLRNI68R48G005K</v>
      </c>
      <c r="N518" s="3" t="s">
        <v>631</v>
      </c>
      <c r="O518" s="3"/>
      <c r="P518" s="4">
        <v>42783</v>
      </c>
      <c r="Q518" s="3" t="s">
        <v>27</v>
      </c>
      <c r="R518" s="3" t="s">
        <v>28</v>
      </c>
      <c r="S518" s="3" t="s">
        <v>29</v>
      </c>
      <c r="T518" s="3">
        <v>795.01</v>
      </c>
      <c r="U518" s="3">
        <v>342.81</v>
      </c>
      <c r="V518" s="3">
        <v>316.57</v>
      </c>
      <c r="W518" s="3">
        <v>135.63</v>
      </c>
    </row>
    <row r="519" spans="1:23" ht="72.75">
      <c r="A519" s="3" t="s">
        <v>23</v>
      </c>
      <c r="B519" s="3" t="s">
        <v>24</v>
      </c>
      <c r="C519" s="3" t="s">
        <v>35</v>
      </c>
      <c r="D519" s="3" t="s">
        <v>36</v>
      </c>
      <c r="E519" s="3" t="s">
        <v>33</v>
      </c>
      <c r="F519" s="3" t="s">
        <v>89</v>
      </c>
      <c r="G519" s="3">
        <v>2016</v>
      </c>
      <c r="H519" s="3" t="str">
        <f>CONCATENATE("64210819807")</f>
        <v>64210819807</v>
      </c>
      <c r="I519" s="3" t="s">
        <v>25</v>
      </c>
      <c r="J519" s="3" t="s">
        <v>26</v>
      </c>
      <c r="K519" s="3" t="str">
        <f t="shared" si="20"/>
        <v/>
      </c>
      <c r="L519" s="3" t="str">
        <f>CONCATENATE("13 13.1 4a")</f>
        <v>13 13.1 4a</v>
      </c>
      <c r="M519" s="3" t="str">
        <f>CONCATENATE("CRTMDA37D07L597N")</f>
        <v>CRTMDA37D07L597N</v>
      </c>
      <c r="N519" s="3" t="s">
        <v>632</v>
      </c>
      <c r="O519" s="3"/>
      <c r="P519" s="4">
        <v>42783</v>
      </c>
      <c r="Q519" s="3" t="s">
        <v>27</v>
      </c>
      <c r="R519" s="3" t="s">
        <v>28</v>
      </c>
      <c r="S519" s="3" t="s">
        <v>29</v>
      </c>
      <c r="T519" s="5">
        <v>3992.77</v>
      </c>
      <c r="U519" s="5">
        <v>1721.68</v>
      </c>
      <c r="V519" s="5">
        <v>1589.92</v>
      </c>
      <c r="W519" s="3">
        <v>681.17</v>
      </c>
    </row>
    <row r="520" spans="1:23" ht="60.75">
      <c r="A520" s="3" t="s">
        <v>23</v>
      </c>
      <c r="B520" s="3" t="s">
        <v>24</v>
      </c>
      <c r="C520" s="3" t="s">
        <v>35</v>
      </c>
      <c r="D520" s="3" t="s">
        <v>36</v>
      </c>
      <c r="E520" s="3" t="s">
        <v>33</v>
      </c>
      <c r="F520" s="3" t="s">
        <v>192</v>
      </c>
      <c r="G520" s="3">
        <v>2016</v>
      </c>
      <c r="H520" s="3" t="str">
        <f>CONCATENATE("64240674818")</f>
        <v>64240674818</v>
      </c>
      <c r="I520" s="3" t="s">
        <v>25</v>
      </c>
      <c r="J520" s="3" t="s">
        <v>26</v>
      </c>
      <c r="K520" s="3" t="str">
        <f t="shared" si="20"/>
        <v/>
      </c>
      <c r="L520" s="3" t="str">
        <f>CONCATENATE("11 11.2 4b")</f>
        <v>11 11.2 4b</v>
      </c>
      <c r="M520" s="3" t="str">
        <f>CONCATENATE("MSSPRZ77M07G005T")</f>
        <v>MSSPRZ77M07G005T</v>
      </c>
      <c r="N520" s="3" t="s">
        <v>633</v>
      </c>
      <c r="O520" s="3"/>
      <c r="P520" s="4">
        <v>42783</v>
      </c>
      <c r="Q520" s="3" t="s">
        <v>27</v>
      </c>
      <c r="R520" s="3" t="s">
        <v>28</v>
      </c>
      <c r="S520" s="3" t="s">
        <v>29</v>
      </c>
      <c r="T520" s="5">
        <v>3051.53</v>
      </c>
      <c r="U520" s="5">
        <v>1315.82</v>
      </c>
      <c r="V520" s="5">
        <v>1215.1199999999999</v>
      </c>
      <c r="W520" s="3">
        <v>520.59</v>
      </c>
    </row>
    <row r="521" spans="1:23" ht="60.75">
      <c r="A521" s="3" t="s">
        <v>23</v>
      </c>
      <c r="B521" s="3" t="s">
        <v>24</v>
      </c>
      <c r="C521" s="3" t="s">
        <v>35</v>
      </c>
      <c r="D521" s="3" t="s">
        <v>36</v>
      </c>
      <c r="E521" s="3" t="s">
        <v>32</v>
      </c>
      <c r="F521" s="3" t="s">
        <v>65</v>
      </c>
      <c r="G521" s="3">
        <v>2016</v>
      </c>
      <c r="H521" s="3" t="str">
        <f>CONCATENATE("64240739629")</f>
        <v>64240739629</v>
      </c>
      <c r="I521" s="3" t="s">
        <v>25</v>
      </c>
      <c r="J521" s="3" t="s">
        <v>26</v>
      </c>
      <c r="K521" s="3" t="str">
        <f t="shared" si="20"/>
        <v/>
      </c>
      <c r="L521" s="3" t="str">
        <f>CONCATENATE("11 11.2 4b")</f>
        <v>11 11.2 4b</v>
      </c>
      <c r="M521" s="3" t="str">
        <f>CONCATENATE("VGNLLN61M50Z110B")</f>
        <v>VGNLLN61M50Z110B</v>
      </c>
      <c r="N521" s="3" t="s">
        <v>634</v>
      </c>
      <c r="O521" s="3"/>
      <c r="P521" s="4">
        <v>42783</v>
      </c>
      <c r="Q521" s="3" t="s">
        <v>27</v>
      </c>
      <c r="R521" s="3" t="s">
        <v>28</v>
      </c>
      <c r="S521" s="3" t="s">
        <v>29</v>
      </c>
      <c r="T521" s="5">
        <v>4315.7299999999996</v>
      </c>
      <c r="U521" s="5">
        <v>1860.94</v>
      </c>
      <c r="V521" s="5">
        <v>1718.52</v>
      </c>
      <c r="W521" s="3">
        <v>736.27</v>
      </c>
    </row>
    <row r="522" spans="1:23" ht="72.75">
      <c r="A522" s="3" t="s">
        <v>23</v>
      </c>
      <c r="B522" s="3" t="s">
        <v>24</v>
      </c>
      <c r="C522" s="3" t="s">
        <v>35</v>
      </c>
      <c r="D522" s="3" t="s">
        <v>36</v>
      </c>
      <c r="E522" s="3" t="s">
        <v>59</v>
      </c>
      <c r="F522" s="3" t="s">
        <v>62</v>
      </c>
      <c r="G522" s="3">
        <v>2016</v>
      </c>
      <c r="H522" s="3" t="str">
        <f>CONCATENATE("64240363909")</f>
        <v>64240363909</v>
      </c>
      <c r="I522" s="3" t="s">
        <v>25</v>
      </c>
      <c r="J522" s="3" t="s">
        <v>26</v>
      </c>
      <c r="K522" s="3" t="str">
        <f t="shared" si="20"/>
        <v/>
      </c>
      <c r="L522" s="3" t="str">
        <f>CONCATENATE("11 11.2 4b")</f>
        <v>11 11.2 4b</v>
      </c>
      <c r="M522" s="3" t="str">
        <f>CONCATENATE("VGNDMR73A24D096E")</f>
        <v>VGNDMR73A24D096E</v>
      </c>
      <c r="N522" s="3" t="s">
        <v>635</v>
      </c>
      <c r="O522" s="3"/>
      <c r="P522" s="4">
        <v>42783</v>
      </c>
      <c r="Q522" s="3" t="s">
        <v>27</v>
      </c>
      <c r="R522" s="3" t="s">
        <v>28</v>
      </c>
      <c r="S522" s="3" t="s">
        <v>29</v>
      </c>
      <c r="T522" s="5">
        <v>2123.62</v>
      </c>
      <c r="U522" s="3">
        <v>915.7</v>
      </c>
      <c r="V522" s="3">
        <v>845.63</v>
      </c>
      <c r="W522" s="3">
        <v>362.29</v>
      </c>
    </row>
    <row r="523" spans="1:23" ht="60.75">
      <c r="A523" s="3" t="s">
        <v>23</v>
      </c>
      <c r="B523" s="3" t="s">
        <v>24</v>
      </c>
      <c r="C523" s="3" t="s">
        <v>35</v>
      </c>
      <c r="D523" s="3" t="s">
        <v>43</v>
      </c>
      <c r="E523" s="3" t="s">
        <v>30</v>
      </c>
      <c r="F523" s="3" t="s">
        <v>76</v>
      </c>
      <c r="G523" s="3">
        <v>2016</v>
      </c>
      <c r="H523" s="3" t="str">
        <f>CONCATENATE("64210370637")</f>
        <v>64210370637</v>
      </c>
      <c r="I523" s="3" t="s">
        <v>25</v>
      </c>
      <c r="J523" s="3" t="s">
        <v>26</v>
      </c>
      <c r="K523" s="3" t="str">
        <f t="shared" si="20"/>
        <v/>
      </c>
      <c r="L523" s="3" t="str">
        <f>CONCATENATE("13 13.1 4a")</f>
        <v>13 13.1 4a</v>
      </c>
      <c r="M523" s="3" t="str">
        <f>CONCATENATE("GRNDNL88T61I459U")</f>
        <v>GRNDNL88T61I459U</v>
      </c>
      <c r="N523" s="3" t="s">
        <v>636</v>
      </c>
      <c r="O523" s="3"/>
      <c r="P523" s="4">
        <v>42783</v>
      </c>
      <c r="Q523" s="3" t="s">
        <v>27</v>
      </c>
      <c r="R523" s="3" t="s">
        <v>28</v>
      </c>
      <c r="S523" s="3" t="s">
        <v>29</v>
      </c>
      <c r="T523" s="5">
        <v>3548.14</v>
      </c>
      <c r="U523" s="5">
        <v>1529.96</v>
      </c>
      <c r="V523" s="5">
        <v>1412.87</v>
      </c>
      <c r="W523" s="3">
        <v>605.30999999999995</v>
      </c>
    </row>
    <row r="524" spans="1:23" ht="60.75">
      <c r="A524" s="3" t="s">
        <v>23</v>
      </c>
      <c r="B524" s="3" t="s">
        <v>24</v>
      </c>
      <c r="C524" s="3" t="s">
        <v>35</v>
      </c>
      <c r="D524" s="3" t="s">
        <v>48</v>
      </c>
      <c r="E524" s="3" t="s">
        <v>49</v>
      </c>
      <c r="F524" s="3" t="s">
        <v>50</v>
      </c>
      <c r="G524" s="3">
        <v>2016</v>
      </c>
      <c r="H524" s="3" t="str">
        <f>CONCATENATE("64240242483")</f>
        <v>64240242483</v>
      </c>
      <c r="I524" s="3" t="s">
        <v>25</v>
      </c>
      <c r="J524" s="3" t="s">
        <v>26</v>
      </c>
      <c r="K524" s="3" t="str">
        <f t="shared" si="20"/>
        <v/>
      </c>
      <c r="L524" s="3" t="str">
        <f>CONCATENATE("11 11.2 4b")</f>
        <v>11 11.2 4b</v>
      </c>
      <c r="M524" s="3" t="str">
        <f>CONCATENATE("CCCRNZ49T31I156H")</f>
        <v>CCCRNZ49T31I156H</v>
      </c>
      <c r="N524" s="3" t="s">
        <v>637</v>
      </c>
      <c r="O524" s="3"/>
      <c r="P524" s="4">
        <v>42783</v>
      </c>
      <c r="Q524" s="3" t="s">
        <v>27</v>
      </c>
      <c r="R524" s="3" t="s">
        <v>28</v>
      </c>
      <c r="S524" s="3" t="s">
        <v>29</v>
      </c>
      <c r="T524" s="3">
        <v>992.28</v>
      </c>
      <c r="U524" s="3">
        <v>427.87</v>
      </c>
      <c r="V524" s="3">
        <v>395.13</v>
      </c>
      <c r="W524" s="3">
        <v>169.28</v>
      </c>
    </row>
    <row r="525" spans="1:23" ht="60.75">
      <c r="A525" s="3" t="s">
        <v>23</v>
      </c>
      <c r="B525" s="3" t="s">
        <v>24</v>
      </c>
      <c r="C525" s="3" t="s">
        <v>35</v>
      </c>
      <c r="D525" s="3" t="s">
        <v>36</v>
      </c>
      <c r="E525" s="3" t="s">
        <v>30</v>
      </c>
      <c r="F525" s="3" t="s">
        <v>37</v>
      </c>
      <c r="G525" s="3">
        <v>2016</v>
      </c>
      <c r="H525" s="3" t="str">
        <f>CONCATENATE("64240407052")</f>
        <v>64240407052</v>
      </c>
      <c r="I525" s="3" t="s">
        <v>25</v>
      </c>
      <c r="J525" s="3" t="s">
        <v>26</v>
      </c>
      <c r="K525" s="3" t="str">
        <f t="shared" si="20"/>
        <v/>
      </c>
      <c r="L525" s="3" t="str">
        <f>CONCATENATE("11 11.2 4b")</f>
        <v>11 11.2 4b</v>
      </c>
      <c r="M525" s="3" t="str">
        <f>CONCATENATE("LNDSMN74L50G516J")</f>
        <v>LNDSMN74L50G516J</v>
      </c>
      <c r="N525" s="3" t="s">
        <v>638</v>
      </c>
      <c r="O525" s="3"/>
      <c r="P525" s="4">
        <v>42783</v>
      </c>
      <c r="Q525" s="3" t="s">
        <v>27</v>
      </c>
      <c r="R525" s="3" t="s">
        <v>28</v>
      </c>
      <c r="S525" s="3" t="s">
        <v>29</v>
      </c>
      <c r="T525" s="5">
        <v>3050.14</v>
      </c>
      <c r="U525" s="5">
        <v>1315.22</v>
      </c>
      <c r="V525" s="5">
        <v>1214.57</v>
      </c>
      <c r="W525" s="3">
        <v>520.35</v>
      </c>
    </row>
    <row r="526" spans="1:23" ht="72.75">
      <c r="A526" s="3" t="s">
        <v>23</v>
      </c>
      <c r="B526" s="3" t="s">
        <v>24</v>
      </c>
      <c r="C526" s="3" t="s">
        <v>35</v>
      </c>
      <c r="D526" s="3" t="s">
        <v>36</v>
      </c>
      <c r="E526" s="3" t="s">
        <v>42</v>
      </c>
      <c r="F526" s="3" t="s">
        <v>42</v>
      </c>
      <c r="G526" s="3">
        <v>2016</v>
      </c>
      <c r="H526" s="3" t="str">
        <f>CONCATENATE("64240839767")</f>
        <v>64240839767</v>
      </c>
      <c r="I526" s="3" t="s">
        <v>25</v>
      </c>
      <c r="J526" s="3" t="s">
        <v>26</v>
      </c>
      <c r="K526" s="3" t="str">
        <f t="shared" si="20"/>
        <v/>
      </c>
      <c r="L526" s="3" t="str">
        <f>CONCATENATE("11 11.2 4b")</f>
        <v>11 11.2 4b</v>
      </c>
      <c r="M526" s="3" t="str">
        <f>CONCATENATE("GDTMSM52L04G005M")</f>
        <v>GDTMSM52L04G005M</v>
      </c>
      <c r="N526" s="3" t="s">
        <v>639</v>
      </c>
      <c r="O526" s="3"/>
      <c r="P526" s="4">
        <v>42783</v>
      </c>
      <c r="Q526" s="3" t="s">
        <v>27</v>
      </c>
      <c r="R526" s="3" t="s">
        <v>28</v>
      </c>
      <c r="S526" s="3" t="s">
        <v>29</v>
      </c>
      <c r="T526" s="5">
        <v>12378.7</v>
      </c>
      <c r="U526" s="5">
        <v>5337.7</v>
      </c>
      <c r="V526" s="5">
        <v>4929.2</v>
      </c>
      <c r="W526" s="5">
        <v>2111.8000000000002</v>
      </c>
    </row>
    <row r="527" spans="1:23" ht="60.75">
      <c r="A527" s="3" t="s">
        <v>23</v>
      </c>
      <c r="B527" s="3" t="s">
        <v>24</v>
      </c>
      <c r="C527" s="3" t="s">
        <v>35</v>
      </c>
      <c r="D527" s="3" t="s">
        <v>48</v>
      </c>
      <c r="E527" s="3" t="s">
        <v>33</v>
      </c>
      <c r="F527" s="3" t="s">
        <v>192</v>
      </c>
      <c r="G527" s="3">
        <v>2016</v>
      </c>
      <c r="H527" s="3" t="str">
        <f>CONCATENATE("64240502688")</f>
        <v>64240502688</v>
      </c>
      <c r="I527" s="3" t="s">
        <v>25</v>
      </c>
      <c r="J527" s="3" t="s">
        <v>26</v>
      </c>
      <c r="K527" s="3" t="str">
        <f t="shared" si="20"/>
        <v/>
      </c>
      <c r="L527" s="3" t="str">
        <f>CONCATENATE("11 11.1 4b")</f>
        <v>11 11.1 4b</v>
      </c>
      <c r="M527" s="3" t="str">
        <f>CONCATENATE("LCRVLR39M01H876I")</f>
        <v>LCRVLR39M01H876I</v>
      </c>
      <c r="N527" s="3" t="s">
        <v>640</v>
      </c>
      <c r="O527" s="3"/>
      <c r="P527" s="4">
        <v>42783</v>
      </c>
      <c r="Q527" s="3" t="s">
        <v>27</v>
      </c>
      <c r="R527" s="3" t="s">
        <v>28</v>
      </c>
      <c r="S527" s="3" t="s">
        <v>29</v>
      </c>
      <c r="T527" s="5">
        <v>1440.36</v>
      </c>
      <c r="U527" s="3">
        <v>621.08000000000004</v>
      </c>
      <c r="V527" s="3">
        <v>573.54999999999995</v>
      </c>
      <c r="W527" s="3">
        <v>245.73</v>
      </c>
    </row>
    <row r="528" spans="1:23" ht="60.75">
      <c r="A528" s="3" t="s">
        <v>23</v>
      </c>
      <c r="B528" s="3" t="s">
        <v>24</v>
      </c>
      <c r="C528" s="3" t="s">
        <v>35</v>
      </c>
      <c r="D528" s="3" t="s">
        <v>36</v>
      </c>
      <c r="E528" s="3" t="s">
        <v>30</v>
      </c>
      <c r="F528" s="3" t="s">
        <v>67</v>
      </c>
      <c r="G528" s="3">
        <v>2016</v>
      </c>
      <c r="H528" s="3" t="str">
        <f>CONCATENATE("64240587572")</f>
        <v>64240587572</v>
      </c>
      <c r="I528" s="3" t="s">
        <v>25</v>
      </c>
      <c r="J528" s="3" t="s">
        <v>26</v>
      </c>
      <c r="K528" s="3" t="str">
        <f t="shared" si="20"/>
        <v/>
      </c>
      <c r="L528" s="3" t="str">
        <f>CONCATENATE("11 11.2 4b")</f>
        <v>11 11.2 4b</v>
      </c>
      <c r="M528" s="3" t="str">
        <f>CONCATENATE("RTNCRS75P16D542L")</f>
        <v>RTNCRS75P16D542L</v>
      </c>
      <c r="N528" s="3" t="s">
        <v>641</v>
      </c>
      <c r="O528" s="3"/>
      <c r="P528" s="4">
        <v>42783</v>
      </c>
      <c r="Q528" s="3" t="s">
        <v>27</v>
      </c>
      <c r="R528" s="3" t="s">
        <v>28</v>
      </c>
      <c r="S528" s="3" t="s">
        <v>29</v>
      </c>
      <c r="T528" s="5">
        <v>4455.91</v>
      </c>
      <c r="U528" s="5">
        <v>1921.39</v>
      </c>
      <c r="V528" s="5">
        <v>1774.34</v>
      </c>
      <c r="W528" s="3">
        <v>760.18</v>
      </c>
    </row>
    <row r="529" spans="1:23" ht="72.75">
      <c r="A529" s="3" t="s">
        <v>23</v>
      </c>
      <c r="B529" s="3" t="s">
        <v>24</v>
      </c>
      <c r="C529" s="3" t="s">
        <v>35</v>
      </c>
      <c r="D529" s="3" t="s">
        <v>36</v>
      </c>
      <c r="E529" s="3" t="s">
        <v>30</v>
      </c>
      <c r="F529" s="3" t="s">
        <v>37</v>
      </c>
      <c r="G529" s="3">
        <v>2016</v>
      </c>
      <c r="H529" s="3" t="str">
        <f>CONCATENATE("64240248472")</f>
        <v>64240248472</v>
      </c>
      <c r="I529" s="3" t="s">
        <v>25</v>
      </c>
      <c r="J529" s="3" t="s">
        <v>26</v>
      </c>
      <c r="K529" s="3" t="str">
        <f t="shared" si="20"/>
        <v/>
      </c>
      <c r="L529" s="3" t="str">
        <f>CONCATENATE("11 11.2 4b")</f>
        <v>11 11.2 4b</v>
      </c>
      <c r="M529" s="3" t="str">
        <f>CONCATENATE("GBBTZN77M53H769U")</f>
        <v>GBBTZN77M53H769U</v>
      </c>
      <c r="N529" s="3" t="s">
        <v>642</v>
      </c>
      <c r="O529" s="3"/>
      <c r="P529" s="4">
        <v>42783</v>
      </c>
      <c r="Q529" s="3" t="s">
        <v>27</v>
      </c>
      <c r="R529" s="3" t="s">
        <v>28</v>
      </c>
      <c r="S529" s="3" t="s">
        <v>29</v>
      </c>
      <c r="T529" s="5">
        <v>18108.509999999998</v>
      </c>
      <c r="U529" s="5">
        <v>7808.39</v>
      </c>
      <c r="V529" s="5">
        <v>7210.81</v>
      </c>
      <c r="W529" s="5">
        <v>3089.31</v>
      </c>
    </row>
    <row r="530" spans="1:23" ht="72.75">
      <c r="A530" s="3" t="s">
        <v>23</v>
      </c>
      <c r="B530" s="3" t="s">
        <v>24</v>
      </c>
      <c r="C530" s="3" t="s">
        <v>35</v>
      </c>
      <c r="D530" s="3" t="s">
        <v>48</v>
      </c>
      <c r="E530" s="3" t="s">
        <v>49</v>
      </c>
      <c r="F530" s="3" t="s">
        <v>50</v>
      </c>
      <c r="G530" s="3">
        <v>2016</v>
      </c>
      <c r="H530" s="3" t="str">
        <f>CONCATENATE("64240897039")</f>
        <v>64240897039</v>
      </c>
      <c r="I530" s="3" t="s">
        <v>25</v>
      </c>
      <c r="J530" s="3" t="s">
        <v>26</v>
      </c>
      <c r="K530" s="3" t="str">
        <f t="shared" si="20"/>
        <v/>
      </c>
      <c r="L530" s="3" t="str">
        <f>CONCATENATE("11 11.2 4b")</f>
        <v>11 11.2 4b</v>
      </c>
      <c r="M530" s="3" t="str">
        <f>CONCATENATE("MNGFNC73E47H501N")</f>
        <v>MNGFNC73E47H501N</v>
      </c>
      <c r="N530" s="3" t="s">
        <v>643</v>
      </c>
      <c r="O530" s="3"/>
      <c r="P530" s="4">
        <v>42783</v>
      </c>
      <c r="Q530" s="3" t="s">
        <v>27</v>
      </c>
      <c r="R530" s="3" t="s">
        <v>28</v>
      </c>
      <c r="S530" s="3" t="s">
        <v>29</v>
      </c>
      <c r="T530" s="3">
        <v>299.31</v>
      </c>
      <c r="U530" s="3">
        <v>129.06</v>
      </c>
      <c r="V530" s="3">
        <v>119.19</v>
      </c>
      <c r="W530" s="3">
        <v>51.06</v>
      </c>
    </row>
    <row r="531" spans="1:23" ht="60.75">
      <c r="A531" s="3" t="s">
        <v>23</v>
      </c>
      <c r="B531" s="3" t="s">
        <v>24</v>
      </c>
      <c r="C531" s="3" t="s">
        <v>35</v>
      </c>
      <c r="D531" s="3" t="s">
        <v>36</v>
      </c>
      <c r="E531" s="3" t="s">
        <v>42</v>
      </c>
      <c r="F531" s="3" t="s">
        <v>42</v>
      </c>
      <c r="G531" s="3">
        <v>2016</v>
      </c>
      <c r="H531" s="3" t="str">
        <f>CONCATENATE("64240145462")</f>
        <v>64240145462</v>
      </c>
      <c r="I531" s="3" t="s">
        <v>25</v>
      </c>
      <c r="J531" s="3" t="s">
        <v>26</v>
      </c>
      <c r="K531" s="3" t="str">
        <f t="shared" si="20"/>
        <v/>
      </c>
      <c r="L531" s="3" t="str">
        <f>CONCATENATE("11 11.2 4b")</f>
        <v>11 11.2 4b</v>
      </c>
      <c r="M531" s="3" t="str">
        <f>CONCATENATE("DNGVCN37T66G005N")</f>
        <v>DNGVCN37T66G005N</v>
      </c>
      <c r="N531" s="3" t="s">
        <v>644</v>
      </c>
      <c r="O531" s="3"/>
      <c r="P531" s="4">
        <v>42783</v>
      </c>
      <c r="Q531" s="3" t="s">
        <v>27</v>
      </c>
      <c r="R531" s="3" t="s">
        <v>28</v>
      </c>
      <c r="S531" s="3" t="s">
        <v>29</v>
      </c>
      <c r="T531" s="5">
        <v>1567.82</v>
      </c>
      <c r="U531" s="3">
        <v>676.04</v>
      </c>
      <c r="V531" s="3">
        <v>624.30999999999995</v>
      </c>
      <c r="W531" s="3">
        <v>267.47000000000003</v>
      </c>
    </row>
    <row r="532" spans="1:23" ht="60.75">
      <c r="A532" s="3" t="s">
        <v>23</v>
      </c>
      <c r="B532" s="3" t="s">
        <v>24</v>
      </c>
      <c r="C532" s="3" t="s">
        <v>35</v>
      </c>
      <c r="D532" s="3" t="s">
        <v>43</v>
      </c>
      <c r="E532" s="3" t="s">
        <v>30</v>
      </c>
      <c r="F532" s="3" t="s">
        <v>76</v>
      </c>
      <c r="G532" s="3">
        <v>2016</v>
      </c>
      <c r="H532" s="3" t="str">
        <f>CONCATENATE("64210107906")</f>
        <v>64210107906</v>
      </c>
      <c r="I532" s="3" t="s">
        <v>25</v>
      </c>
      <c r="J532" s="3" t="s">
        <v>26</v>
      </c>
      <c r="K532" s="3" t="str">
        <f t="shared" si="20"/>
        <v/>
      </c>
      <c r="L532" s="3" t="str">
        <f>CONCATENATE("13 13.1 4a")</f>
        <v>13 13.1 4a</v>
      </c>
      <c r="M532" s="3" t="str">
        <f>CONCATENATE("VNNDNC48D29F524O")</f>
        <v>VNNDNC48D29F524O</v>
      </c>
      <c r="N532" s="3" t="s">
        <v>645</v>
      </c>
      <c r="O532" s="3"/>
      <c r="P532" s="4">
        <v>42783</v>
      </c>
      <c r="Q532" s="3" t="s">
        <v>27</v>
      </c>
      <c r="R532" s="3" t="s">
        <v>28</v>
      </c>
      <c r="S532" s="3" t="s">
        <v>29</v>
      </c>
      <c r="T532" s="5">
        <v>1578.44</v>
      </c>
      <c r="U532" s="3">
        <v>680.62</v>
      </c>
      <c r="V532" s="3">
        <v>628.53</v>
      </c>
      <c r="W532" s="3">
        <v>269.29000000000002</v>
      </c>
    </row>
    <row r="533" spans="1:23" ht="60.75">
      <c r="A533" s="3" t="s">
        <v>23</v>
      </c>
      <c r="B533" s="3" t="s">
        <v>24</v>
      </c>
      <c r="C533" s="3" t="s">
        <v>35</v>
      </c>
      <c r="D533" s="3" t="s">
        <v>43</v>
      </c>
      <c r="E533" s="3" t="s">
        <v>30</v>
      </c>
      <c r="F533" s="3" t="s">
        <v>124</v>
      </c>
      <c r="G533" s="3">
        <v>2016</v>
      </c>
      <c r="H533" s="3" t="str">
        <f>CONCATENATE("64210219867")</f>
        <v>64210219867</v>
      </c>
      <c r="I533" s="3" t="s">
        <v>25</v>
      </c>
      <c r="J533" s="3" t="s">
        <v>26</v>
      </c>
      <c r="K533" s="3" t="str">
        <f t="shared" si="20"/>
        <v/>
      </c>
      <c r="L533" s="3" t="str">
        <f>CONCATENATE("13 13.1 4a")</f>
        <v>13 13.1 4a</v>
      </c>
      <c r="M533" s="3" t="str">
        <f>CONCATENATE("PZZDRN64R17F135L")</f>
        <v>PZZDRN64R17F135L</v>
      </c>
      <c r="N533" s="3" t="s">
        <v>646</v>
      </c>
      <c r="O533" s="3"/>
      <c r="P533" s="4">
        <v>42783</v>
      </c>
      <c r="Q533" s="3" t="s">
        <v>27</v>
      </c>
      <c r="R533" s="3" t="s">
        <v>28</v>
      </c>
      <c r="S533" s="3" t="s">
        <v>29</v>
      </c>
      <c r="T533" s="5">
        <v>2314.64</v>
      </c>
      <c r="U533" s="3">
        <v>998.07</v>
      </c>
      <c r="V533" s="3">
        <v>921.69</v>
      </c>
      <c r="W533" s="3">
        <v>394.88</v>
      </c>
    </row>
    <row r="534" spans="1:23" ht="36.75">
      <c r="A534" s="3" t="s">
        <v>23</v>
      </c>
      <c r="B534" s="3" t="s">
        <v>24</v>
      </c>
      <c r="C534" s="3" t="s">
        <v>35</v>
      </c>
      <c r="D534" s="3" t="s">
        <v>48</v>
      </c>
      <c r="E534" s="3" t="s">
        <v>30</v>
      </c>
      <c r="F534" s="3" t="s">
        <v>157</v>
      </c>
      <c r="G534" s="3">
        <v>2016</v>
      </c>
      <c r="H534" s="3" t="str">
        <f>CONCATENATE("64240393633")</f>
        <v>64240393633</v>
      </c>
      <c r="I534" s="3" t="s">
        <v>25</v>
      </c>
      <c r="J534" s="3" t="s">
        <v>26</v>
      </c>
      <c r="K534" s="3" t="str">
        <f t="shared" si="20"/>
        <v/>
      </c>
      <c r="L534" s="3" t="str">
        <f>CONCATENATE("11 11.2 4b")</f>
        <v>11 11.2 4b</v>
      </c>
      <c r="M534" s="3" t="str">
        <f>CONCATENATE("01651450437")</f>
        <v>01651450437</v>
      </c>
      <c r="N534" s="3" t="s">
        <v>647</v>
      </c>
      <c r="O534" s="3"/>
      <c r="P534" s="4">
        <v>42783</v>
      </c>
      <c r="Q534" s="3" t="s">
        <v>27</v>
      </c>
      <c r="R534" s="3" t="s">
        <v>28</v>
      </c>
      <c r="S534" s="3" t="s">
        <v>29</v>
      </c>
      <c r="T534" s="5">
        <v>1134.7</v>
      </c>
      <c r="U534" s="3">
        <v>489.28</v>
      </c>
      <c r="V534" s="3">
        <v>451.84</v>
      </c>
      <c r="W534" s="3">
        <v>193.58</v>
      </c>
    </row>
    <row r="535" spans="1:23" ht="60.75">
      <c r="A535" s="3" t="s">
        <v>23</v>
      </c>
      <c r="B535" s="3" t="s">
        <v>24</v>
      </c>
      <c r="C535" s="3" t="s">
        <v>35</v>
      </c>
      <c r="D535" s="3" t="s">
        <v>43</v>
      </c>
      <c r="E535" s="3" t="s">
        <v>32</v>
      </c>
      <c r="F535" s="3" t="s">
        <v>575</v>
      </c>
      <c r="G535" s="3">
        <v>2016</v>
      </c>
      <c r="H535" s="3" t="str">
        <f>CONCATENATE("64240897922")</f>
        <v>64240897922</v>
      </c>
      <c r="I535" s="3" t="s">
        <v>25</v>
      </c>
      <c r="J535" s="3" t="s">
        <v>26</v>
      </c>
      <c r="K535" s="3" t="str">
        <f t="shared" si="20"/>
        <v/>
      </c>
      <c r="L535" s="3" t="str">
        <f>CONCATENATE("10 10.1 4b")</f>
        <v>10 10.1 4b</v>
      </c>
      <c r="M535" s="3" t="str">
        <f>CONCATENATE("LVEDVD84L17G479I")</f>
        <v>LVEDVD84L17G479I</v>
      </c>
      <c r="N535" s="3" t="s">
        <v>648</v>
      </c>
      <c r="O535" s="3"/>
      <c r="P535" s="4">
        <v>42783</v>
      </c>
      <c r="Q535" s="3" t="s">
        <v>27</v>
      </c>
      <c r="R535" s="3" t="s">
        <v>28</v>
      </c>
      <c r="S535" s="3" t="s">
        <v>29</v>
      </c>
      <c r="T535" s="5">
        <v>1246.3499999999999</v>
      </c>
      <c r="U535" s="3">
        <v>537.42999999999995</v>
      </c>
      <c r="V535" s="3">
        <v>496.3</v>
      </c>
      <c r="W535" s="3">
        <v>212.62</v>
      </c>
    </row>
    <row r="536" spans="1:23" ht="60.75">
      <c r="A536" s="3" t="s">
        <v>23</v>
      </c>
      <c r="B536" s="3" t="s">
        <v>24</v>
      </c>
      <c r="C536" s="3" t="s">
        <v>35</v>
      </c>
      <c r="D536" s="3" t="s">
        <v>39</v>
      </c>
      <c r="E536" s="3" t="s">
        <v>30</v>
      </c>
      <c r="F536" s="3" t="s">
        <v>196</v>
      </c>
      <c r="G536" s="3">
        <v>2016</v>
      </c>
      <c r="H536" s="3" t="str">
        <f>CONCATENATE("64240735742")</f>
        <v>64240735742</v>
      </c>
      <c r="I536" s="3" t="s">
        <v>25</v>
      </c>
      <c r="J536" s="3" t="s">
        <v>26</v>
      </c>
      <c r="K536" s="3" t="str">
        <f t="shared" si="20"/>
        <v/>
      </c>
      <c r="L536" s="3" t="str">
        <f>CONCATENATE("10 10.1 4a")</f>
        <v>10 10.1 4a</v>
      </c>
      <c r="M536" s="3" t="str">
        <f>CONCATENATE("STFMRA39E02F381K")</f>
        <v>STFMRA39E02F381K</v>
      </c>
      <c r="N536" s="3" t="s">
        <v>649</v>
      </c>
      <c r="O536" s="3"/>
      <c r="P536" s="4">
        <v>42783</v>
      </c>
      <c r="Q536" s="3" t="s">
        <v>27</v>
      </c>
      <c r="R536" s="3" t="s">
        <v>28</v>
      </c>
      <c r="S536" s="3" t="s">
        <v>29</v>
      </c>
      <c r="T536" s="5">
        <v>2122.52</v>
      </c>
      <c r="U536" s="3">
        <v>915.23</v>
      </c>
      <c r="V536" s="3">
        <v>845.19</v>
      </c>
      <c r="W536" s="3">
        <v>362.1</v>
      </c>
    </row>
    <row r="537" spans="1:23" ht="72.75">
      <c r="A537" s="3" t="s">
        <v>23</v>
      </c>
      <c r="B537" s="3" t="s">
        <v>24</v>
      </c>
      <c r="C537" s="3" t="s">
        <v>35</v>
      </c>
      <c r="D537" s="3" t="s">
        <v>39</v>
      </c>
      <c r="E537" s="3" t="s">
        <v>32</v>
      </c>
      <c r="F537" s="3" t="s">
        <v>215</v>
      </c>
      <c r="G537" s="3">
        <v>2016</v>
      </c>
      <c r="H537" s="3" t="str">
        <f>CONCATENATE("64240634895")</f>
        <v>64240634895</v>
      </c>
      <c r="I537" s="3" t="s">
        <v>25</v>
      </c>
      <c r="J537" s="3" t="s">
        <v>26</v>
      </c>
      <c r="K537" s="3" t="str">
        <f t="shared" si="20"/>
        <v/>
      </c>
      <c r="L537" s="3" t="str">
        <f>CONCATENATE("10 10.1 4a")</f>
        <v>10 10.1 4a</v>
      </c>
      <c r="M537" s="3" t="str">
        <f>CONCATENATE("PRNTRN37B44A329H")</f>
        <v>PRNTRN37B44A329H</v>
      </c>
      <c r="N537" s="3" t="s">
        <v>650</v>
      </c>
      <c r="O537" s="3"/>
      <c r="P537" s="4">
        <v>42783</v>
      </c>
      <c r="Q537" s="3" t="s">
        <v>27</v>
      </c>
      <c r="R537" s="3" t="s">
        <v>28</v>
      </c>
      <c r="S537" s="3" t="s">
        <v>29</v>
      </c>
      <c r="T537" s="3">
        <v>79.2</v>
      </c>
      <c r="U537" s="3">
        <v>34.15</v>
      </c>
      <c r="V537" s="3">
        <v>31.54</v>
      </c>
      <c r="W537" s="3">
        <v>13.51</v>
      </c>
    </row>
    <row r="538" spans="1:23" ht="60.75">
      <c r="A538" s="3" t="s">
        <v>23</v>
      </c>
      <c r="B538" s="3" t="s">
        <v>24</v>
      </c>
      <c r="C538" s="3" t="s">
        <v>35</v>
      </c>
      <c r="D538" s="3" t="s">
        <v>48</v>
      </c>
      <c r="E538" s="3" t="s">
        <v>33</v>
      </c>
      <c r="F538" s="3" t="s">
        <v>212</v>
      </c>
      <c r="G538" s="3">
        <v>2016</v>
      </c>
      <c r="H538" s="3" t="str">
        <f>CONCATENATE("64240810867")</f>
        <v>64240810867</v>
      </c>
      <c r="I538" s="3" t="s">
        <v>31</v>
      </c>
      <c r="J538" s="3" t="s">
        <v>26</v>
      </c>
      <c r="K538" s="3" t="str">
        <f t="shared" si="20"/>
        <v/>
      </c>
      <c r="L538" s="3" t="str">
        <f>CONCATENATE("11 11.2 4b")</f>
        <v>11 11.2 4b</v>
      </c>
      <c r="M538" s="3" t="str">
        <f>CONCATENATE("MZZRNN57E64L366R")</f>
        <v>MZZRNN57E64L366R</v>
      </c>
      <c r="N538" s="3" t="s">
        <v>651</v>
      </c>
      <c r="O538" s="3"/>
      <c r="P538" s="4">
        <v>42783</v>
      </c>
      <c r="Q538" s="3" t="s">
        <v>27</v>
      </c>
      <c r="R538" s="3" t="s">
        <v>28</v>
      </c>
      <c r="S538" s="3" t="s">
        <v>29</v>
      </c>
      <c r="T538" s="3">
        <v>364.73</v>
      </c>
      <c r="U538" s="3">
        <v>157.27000000000001</v>
      </c>
      <c r="V538" s="3">
        <v>145.24</v>
      </c>
      <c r="W538" s="3">
        <v>62.22</v>
      </c>
    </row>
    <row r="539" spans="1:23" ht="36.75">
      <c r="A539" s="3" t="s">
        <v>23</v>
      </c>
      <c r="B539" s="3" t="s">
        <v>24</v>
      </c>
      <c r="C539" s="3" t="s">
        <v>35</v>
      </c>
      <c r="D539" s="3" t="s">
        <v>36</v>
      </c>
      <c r="E539" s="3" t="s">
        <v>59</v>
      </c>
      <c r="F539" s="3" t="s">
        <v>62</v>
      </c>
      <c r="G539" s="3">
        <v>2016</v>
      </c>
      <c r="H539" s="3" t="str">
        <f>CONCATENATE("64240761078")</f>
        <v>64240761078</v>
      </c>
      <c r="I539" s="3" t="s">
        <v>25</v>
      </c>
      <c r="J539" s="3" t="s">
        <v>26</v>
      </c>
      <c r="K539" s="3" t="str">
        <f t="shared" si="20"/>
        <v/>
      </c>
      <c r="L539" s="3" t="str">
        <f>CONCATENATE("10 10.1 4a")</f>
        <v>10 10.1 4a</v>
      </c>
      <c r="M539" s="3" t="str">
        <f>CONCATENATE("02274800446")</f>
        <v>02274800446</v>
      </c>
      <c r="N539" s="3" t="s">
        <v>652</v>
      </c>
      <c r="O539" s="3"/>
      <c r="P539" s="4">
        <v>42783</v>
      </c>
      <c r="Q539" s="3" t="s">
        <v>27</v>
      </c>
      <c r="R539" s="3" t="s">
        <v>28</v>
      </c>
      <c r="S539" s="3" t="s">
        <v>29</v>
      </c>
      <c r="T539" s="5">
        <v>2003.52</v>
      </c>
      <c r="U539" s="3">
        <v>863.92</v>
      </c>
      <c r="V539" s="3">
        <v>797.8</v>
      </c>
      <c r="W539" s="3">
        <v>341.8</v>
      </c>
    </row>
    <row r="540" spans="1:23" ht="60.75">
      <c r="A540" s="3" t="s">
        <v>23</v>
      </c>
      <c r="B540" s="3" t="s">
        <v>24</v>
      </c>
      <c r="C540" s="3" t="s">
        <v>35</v>
      </c>
      <c r="D540" s="3" t="s">
        <v>36</v>
      </c>
      <c r="E540" s="3" t="s">
        <v>30</v>
      </c>
      <c r="F540" s="3" t="s">
        <v>157</v>
      </c>
      <c r="G540" s="3">
        <v>2016</v>
      </c>
      <c r="H540" s="3" t="str">
        <f>CONCATENATE("64210741555")</f>
        <v>64210741555</v>
      </c>
      <c r="I540" s="3" t="s">
        <v>25</v>
      </c>
      <c r="J540" s="3" t="s">
        <v>26</v>
      </c>
      <c r="K540" s="3" t="str">
        <f t="shared" si="20"/>
        <v/>
      </c>
      <c r="L540" s="3" t="str">
        <f>CONCATENATE("13 13.1 4a")</f>
        <v>13 13.1 4a</v>
      </c>
      <c r="M540" s="3" t="str">
        <f>CONCATENATE("NRENTL48T11L597K")</f>
        <v>NRENTL48T11L597K</v>
      </c>
      <c r="N540" s="3" t="s">
        <v>653</v>
      </c>
      <c r="O540" s="3"/>
      <c r="P540" s="4">
        <v>42783</v>
      </c>
      <c r="Q540" s="3" t="s">
        <v>27</v>
      </c>
      <c r="R540" s="3" t="s">
        <v>28</v>
      </c>
      <c r="S540" s="3" t="s">
        <v>29</v>
      </c>
      <c r="T540" s="5">
        <v>5400</v>
      </c>
      <c r="U540" s="5">
        <v>2328.48</v>
      </c>
      <c r="V540" s="5">
        <v>2150.2800000000002</v>
      </c>
      <c r="W540" s="3">
        <v>921.24</v>
      </c>
    </row>
    <row r="541" spans="1:23" ht="60.75">
      <c r="A541" s="3" t="s">
        <v>23</v>
      </c>
      <c r="B541" s="3" t="s">
        <v>24</v>
      </c>
      <c r="C541" s="3" t="s">
        <v>35</v>
      </c>
      <c r="D541" s="3" t="s">
        <v>36</v>
      </c>
      <c r="E541" s="3" t="s">
        <v>33</v>
      </c>
      <c r="F541" s="3" t="s">
        <v>89</v>
      </c>
      <c r="G541" s="3">
        <v>2016</v>
      </c>
      <c r="H541" s="3" t="str">
        <f>CONCATENATE("64210607111")</f>
        <v>64210607111</v>
      </c>
      <c r="I541" s="3" t="s">
        <v>25</v>
      </c>
      <c r="J541" s="3" t="s">
        <v>26</v>
      </c>
      <c r="K541" s="3" t="str">
        <f t="shared" si="20"/>
        <v/>
      </c>
      <c r="L541" s="3" t="str">
        <f>CONCATENATE("13 13.1 4a")</f>
        <v>13 13.1 4a</v>
      </c>
      <c r="M541" s="3" t="str">
        <f>CONCATENATE("GNNLRD70R07A252X")</f>
        <v>GNNLRD70R07A252X</v>
      </c>
      <c r="N541" s="3" t="s">
        <v>654</v>
      </c>
      <c r="O541" s="3"/>
      <c r="P541" s="4">
        <v>42783</v>
      </c>
      <c r="Q541" s="3" t="s">
        <v>27</v>
      </c>
      <c r="R541" s="3" t="s">
        <v>28</v>
      </c>
      <c r="S541" s="3" t="s">
        <v>29</v>
      </c>
      <c r="T541" s="5">
        <v>3327.36</v>
      </c>
      <c r="U541" s="5">
        <v>1434.76</v>
      </c>
      <c r="V541" s="5">
        <v>1324.95</v>
      </c>
      <c r="W541" s="3">
        <v>567.65</v>
      </c>
    </row>
    <row r="542" spans="1:23" ht="60.75">
      <c r="A542" s="3" t="s">
        <v>23</v>
      </c>
      <c r="B542" s="3" t="s">
        <v>24</v>
      </c>
      <c r="C542" s="3" t="s">
        <v>35</v>
      </c>
      <c r="D542" s="3" t="s">
        <v>36</v>
      </c>
      <c r="E542" s="3" t="s">
        <v>33</v>
      </c>
      <c r="F542" s="3" t="s">
        <v>89</v>
      </c>
      <c r="G542" s="3">
        <v>2016</v>
      </c>
      <c r="H542" s="3" t="str">
        <f>CONCATENATE("64210695645")</f>
        <v>64210695645</v>
      </c>
      <c r="I542" s="3" t="s">
        <v>25</v>
      </c>
      <c r="J542" s="3" t="s">
        <v>26</v>
      </c>
      <c r="K542" s="3" t="str">
        <f t="shared" si="20"/>
        <v/>
      </c>
      <c r="L542" s="3" t="str">
        <f>CONCATENATE("13 13.1 4a")</f>
        <v>13 13.1 4a</v>
      </c>
      <c r="M542" s="3" t="str">
        <f>CONCATENATE("FBBDVD50E12F570G")</f>
        <v>FBBDVD50E12F570G</v>
      </c>
      <c r="N542" s="3" t="s">
        <v>655</v>
      </c>
      <c r="O542" s="3"/>
      <c r="P542" s="4">
        <v>42783</v>
      </c>
      <c r="Q542" s="3" t="s">
        <v>27</v>
      </c>
      <c r="R542" s="3" t="s">
        <v>28</v>
      </c>
      <c r="S542" s="3" t="s">
        <v>29</v>
      </c>
      <c r="T542" s="5">
        <v>2241.52</v>
      </c>
      <c r="U542" s="3">
        <v>966.54</v>
      </c>
      <c r="V542" s="3">
        <v>892.57</v>
      </c>
      <c r="W542" s="3">
        <v>382.41</v>
      </c>
    </row>
    <row r="543" spans="1:23" ht="60.75">
      <c r="A543" s="3" t="s">
        <v>23</v>
      </c>
      <c r="B543" s="3" t="s">
        <v>24</v>
      </c>
      <c r="C543" s="3" t="s">
        <v>35</v>
      </c>
      <c r="D543" s="3" t="s">
        <v>39</v>
      </c>
      <c r="E543" s="3" t="s">
        <v>30</v>
      </c>
      <c r="F543" s="3" t="s">
        <v>84</v>
      </c>
      <c r="G543" s="3">
        <v>2016</v>
      </c>
      <c r="H543" s="3" t="str">
        <f>CONCATENATE("64240208666")</f>
        <v>64240208666</v>
      </c>
      <c r="I543" s="3" t="s">
        <v>25</v>
      </c>
      <c r="J543" s="3" t="s">
        <v>26</v>
      </c>
      <c r="K543" s="3" t="str">
        <f t="shared" si="20"/>
        <v/>
      </c>
      <c r="L543" s="3" t="str">
        <f>CONCATENATE("11 11.2 4b")</f>
        <v>11 11.2 4b</v>
      </c>
      <c r="M543" s="3" t="str">
        <f>CONCATENATE("PGLSST50B18D429A")</f>
        <v>PGLSST50B18D429A</v>
      </c>
      <c r="N543" s="3" t="s">
        <v>656</v>
      </c>
      <c r="O543" s="3"/>
      <c r="P543" s="4">
        <v>42783</v>
      </c>
      <c r="Q543" s="3" t="s">
        <v>27</v>
      </c>
      <c r="R543" s="3" t="s">
        <v>28</v>
      </c>
      <c r="S543" s="3" t="s">
        <v>29</v>
      </c>
      <c r="T543" s="5">
        <v>1614.47</v>
      </c>
      <c r="U543" s="3">
        <v>696.16</v>
      </c>
      <c r="V543" s="3">
        <v>642.88</v>
      </c>
      <c r="W543" s="3">
        <v>275.43</v>
      </c>
    </row>
    <row r="544" spans="1:23" ht="60.75">
      <c r="A544" s="3" t="s">
        <v>23</v>
      </c>
      <c r="B544" s="3" t="s">
        <v>24</v>
      </c>
      <c r="C544" s="3" t="s">
        <v>35</v>
      </c>
      <c r="D544" s="3" t="s">
        <v>39</v>
      </c>
      <c r="E544" s="3" t="s">
        <v>32</v>
      </c>
      <c r="F544" s="3" t="s">
        <v>117</v>
      </c>
      <c r="G544" s="3">
        <v>2016</v>
      </c>
      <c r="H544" s="3" t="str">
        <f>CONCATENATE("64240485769")</f>
        <v>64240485769</v>
      </c>
      <c r="I544" s="3" t="s">
        <v>25</v>
      </c>
      <c r="J544" s="3" t="s">
        <v>26</v>
      </c>
      <c r="K544" s="3" t="str">
        <f t="shared" si="20"/>
        <v/>
      </c>
      <c r="L544" s="3" t="str">
        <f>CONCATENATE("11 11.2 4b")</f>
        <v>11 11.2 4b</v>
      </c>
      <c r="M544" s="3" t="str">
        <f>CONCATENATE("BCCFNC54S09I608W")</f>
        <v>BCCFNC54S09I608W</v>
      </c>
      <c r="N544" s="3" t="s">
        <v>657</v>
      </c>
      <c r="O544" s="3"/>
      <c r="P544" s="4">
        <v>42783</v>
      </c>
      <c r="Q544" s="3" t="s">
        <v>27</v>
      </c>
      <c r="R544" s="3" t="s">
        <v>28</v>
      </c>
      <c r="S544" s="3" t="s">
        <v>29</v>
      </c>
      <c r="T544" s="5">
        <v>1360.46</v>
      </c>
      <c r="U544" s="3">
        <v>586.63</v>
      </c>
      <c r="V544" s="3">
        <v>541.74</v>
      </c>
      <c r="W544" s="3">
        <v>232.09</v>
      </c>
    </row>
    <row r="545" spans="1:23" ht="60.75">
      <c r="A545" s="3" t="s">
        <v>23</v>
      </c>
      <c r="B545" s="3" t="s">
        <v>24</v>
      </c>
      <c r="C545" s="3" t="s">
        <v>35</v>
      </c>
      <c r="D545" s="3" t="s">
        <v>48</v>
      </c>
      <c r="E545" s="3" t="s">
        <v>49</v>
      </c>
      <c r="F545" s="3" t="s">
        <v>50</v>
      </c>
      <c r="G545" s="3">
        <v>2016</v>
      </c>
      <c r="H545" s="3" t="str">
        <f>CONCATENATE("64240369567")</f>
        <v>64240369567</v>
      </c>
      <c r="I545" s="3" t="s">
        <v>25</v>
      </c>
      <c r="J545" s="3" t="s">
        <v>26</v>
      </c>
      <c r="K545" s="3" t="str">
        <f t="shared" si="20"/>
        <v/>
      </c>
      <c r="L545" s="3" t="str">
        <f>CONCATENATE("11 11.2 4b")</f>
        <v>11 11.2 4b</v>
      </c>
      <c r="M545" s="3" t="str">
        <f>CONCATENATE("BRNNDR91E21B474D")</f>
        <v>BRNNDR91E21B474D</v>
      </c>
      <c r="N545" s="3" t="s">
        <v>658</v>
      </c>
      <c r="O545" s="3"/>
      <c r="P545" s="4">
        <v>42783</v>
      </c>
      <c r="Q545" s="3" t="s">
        <v>27</v>
      </c>
      <c r="R545" s="3" t="s">
        <v>28</v>
      </c>
      <c r="S545" s="3" t="s">
        <v>29</v>
      </c>
      <c r="T545" s="5">
        <v>1429.49</v>
      </c>
      <c r="U545" s="3">
        <v>616.4</v>
      </c>
      <c r="V545" s="3">
        <v>569.22</v>
      </c>
      <c r="W545" s="3">
        <v>243.87</v>
      </c>
    </row>
    <row r="546" spans="1:23" ht="60.75">
      <c r="A546" s="3" t="s">
        <v>23</v>
      </c>
      <c r="B546" s="3" t="s">
        <v>24</v>
      </c>
      <c r="C546" s="3" t="s">
        <v>35</v>
      </c>
      <c r="D546" s="3" t="s">
        <v>39</v>
      </c>
      <c r="E546" s="3" t="s">
        <v>34</v>
      </c>
      <c r="F546" s="3" t="s">
        <v>170</v>
      </c>
      <c r="G546" s="3">
        <v>2016</v>
      </c>
      <c r="H546" s="3" t="str">
        <f>CONCATENATE("64240611984")</f>
        <v>64240611984</v>
      </c>
      <c r="I546" s="3" t="s">
        <v>25</v>
      </c>
      <c r="J546" s="3" t="s">
        <v>26</v>
      </c>
      <c r="K546" s="3" t="str">
        <f t="shared" si="20"/>
        <v/>
      </c>
      <c r="L546" s="3" t="str">
        <f>CONCATENATE("11 11.2 4b")</f>
        <v>11 11.2 4b</v>
      </c>
      <c r="M546" s="3" t="str">
        <f>CONCATENATE("GSTLNE37E55F205Q")</f>
        <v>GSTLNE37E55F205Q</v>
      </c>
      <c r="N546" s="3" t="s">
        <v>659</v>
      </c>
      <c r="O546" s="3"/>
      <c r="P546" s="4">
        <v>42783</v>
      </c>
      <c r="Q546" s="3" t="s">
        <v>27</v>
      </c>
      <c r="R546" s="3" t="s">
        <v>28</v>
      </c>
      <c r="S546" s="3" t="s">
        <v>29</v>
      </c>
      <c r="T546" s="5">
        <v>1928.73</v>
      </c>
      <c r="U546" s="3">
        <v>831.67</v>
      </c>
      <c r="V546" s="3">
        <v>768.02</v>
      </c>
      <c r="W546" s="3">
        <v>329.04</v>
      </c>
    </row>
    <row r="547" spans="1:23" ht="36.75">
      <c r="A547" s="3" t="s">
        <v>23</v>
      </c>
      <c r="B547" s="3" t="s">
        <v>24</v>
      </c>
      <c r="C547" s="3" t="s">
        <v>35</v>
      </c>
      <c r="D547" s="3" t="s">
        <v>48</v>
      </c>
      <c r="E547" s="3" t="s">
        <v>30</v>
      </c>
      <c r="F547" s="3" t="s">
        <v>91</v>
      </c>
      <c r="G547" s="3">
        <v>2016</v>
      </c>
      <c r="H547" s="3" t="str">
        <f>CONCATENATE("64240418984")</f>
        <v>64240418984</v>
      </c>
      <c r="I547" s="3" t="s">
        <v>25</v>
      </c>
      <c r="J547" s="3" t="s">
        <v>26</v>
      </c>
      <c r="K547" s="3" t="str">
        <f t="shared" si="20"/>
        <v/>
      </c>
      <c r="L547" s="3" t="str">
        <f>CONCATENATE("11 11.1 4b")</f>
        <v>11 11.1 4b</v>
      </c>
      <c r="M547" s="3" t="str">
        <f>CONCATENATE("01910240439")</f>
        <v>01910240439</v>
      </c>
      <c r="N547" s="3" t="s">
        <v>660</v>
      </c>
      <c r="O547" s="3"/>
      <c r="P547" s="4">
        <v>42783</v>
      </c>
      <c r="Q547" s="3" t="s">
        <v>27</v>
      </c>
      <c r="R547" s="3" t="s">
        <v>28</v>
      </c>
      <c r="S547" s="3" t="s">
        <v>29</v>
      </c>
      <c r="T547" s="3">
        <v>688.57</v>
      </c>
      <c r="U547" s="3">
        <v>296.91000000000003</v>
      </c>
      <c r="V547" s="3">
        <v>274.19</v>
      </c>
      <c r="W547" s="3">
        <v>117.47</v>
      </c>
    </row>
    <row r="548" spans="1:23" ht="60.75">
      <c r="A548" s="3" t="s">
        <v>23</v>
      </c>
      <c r="B548" s="3" t="s">
        <v>24</v>
      </c>
      <c r="C548" s="3" t="s">
        <v>35</v>
      </c>
      <c r="D548" s="3" t="s">
        <v>43</v>
      </c>
      <c r="E548" s="3" t="s">
        <v>32</v>
      </c>
      <c r="F548" s="3" t="s">
        <v>575</v>
      </c>
      <c r="G548" s="3">
        <v>2016</v>
      </c>
      <c r="H548" s="3" t="str">
        <f>CONCATENATE("64240403077")</f>
        <v>64240403077</v>
      </c>
      <c r="I548" s="3" t="s">
        <v>25</v>
      </c>
      <c r="J548" s="3" t="s">
        <v>26</v>
      </c>
      <c r="K548" s="3" t="str">
        <f t="shared" si="20"/>
        <v/>
      </c>
      <c r="L548" s="3" t="str">
        <f>CONCATENATE("11 11.2 4b")</f>
        <v>11 11.2 4b</v>
      </c>
      <c r="M548" s="3" t="str">
        <f>CONCATENATE("PTRVNI83T15G479Q")</f>
        <v>PTRVNI83T15G479Q</v>
      </c>
      <c r="N548" s="3" t="s">
        <v>661</v>
      </c>
      <c r="O548" s="3"/>
      <c r="P548" s="4">
        <v>42783</v>
      </c>
      <c r="Q548" s="3" t="s">
        <v>27</v>
      </c>
      <c r="R548" s="3" t="s">
        <v>28</v>
      </c>
      <c r="S548" s="3" t="s">
        <v>29</v>
      </c>
      <c r="T548" s="5">
        <v>3723.45</v>
      </c>
      <c r="U548" s="5">
        <v>1605.55</v>
      </c>
      <c r="V548" s="5">
        <v>1482.68</v>
      </c>
      <c r="W548" s="3">
        <v>635.22</v>
      </c>
    </row>
    <row r="549" spans="1:23" ht="36.75">
      <c r="A549" s="3" t="s">
        <v>23</v>
      </c>
      <c r="B549" s="3" t="s">
        <v>24</v>
      </c>
      <c r="C549" s="3" t="s">
        <v>35</v>
      </c>
      <c r="D549" s="3" t="s">
        <v>43</v>
      </c>
      <c r="E549" s="3" t="s">
        <v>59</v>
      </c>
      <c r="F549" s="3" t="s">
        <v>662</v>
      </c>
      <c r="G549" s="3">
        <v>2016</v>
      </c>
      <c r="H549" s="3" t="str">
        <f>CONCATENATE("64240510848")</f>
        <v>64240510848</v>
      </c>
      <c r="I549" s="3" t="s">
        <v>25</v>
      </c>
      <c r="J549" s="3" t="s">
        <v>26</v>
      </c>
      <c r="K549" s="3" t="str">
        <f t="shared" si="20"/>
        <v/>
      </c>
      <c r="L549" s="3" t="str">
        <f>CONCATENATE("11 11.1 4b")</f>
        <v>11 11.1 4b</v>
      </c>
      <c r="M549" s="3" t="str">
        <f>CONCATENATE("02572310411")</f>
        <v>02572310411</v>
      </c>
      <c r="N549" s="3" t="s">
        <v>663</v>
      </c>
      <c r="O549" s="3"/>
      <c r="P549" s="4">
        <v>42783</v>
      </c>
      <c r="Q549" s="3" t="s">
        <v>27</v>
      </c>
      <c r="R549" s="3" t="s">
        <v>28</v>
      </c>
      <c r="S549" s="3" t="s">
        <v>29</v>
      </c>
      <c r="T549" s="5">
        <v>1295.67</v>
      </c>
      <c r="U549" s="3">
        <v>558.69000000000005</v>
      </c>
      <c r="V549" s="3">
        <v>515.94000000000005</v>
      </c>
      <c r="W549" s="3">
        <v>221.04</v>
      </c>
    </row>
    <row r="550" spans="1:23" ht="72.75">
      <c r="A550" s="3" t="s">
        <v>23</v>
      </c>
      <c r="B550" s="3" t="s">
        <v>24</v>
      </c>
      <c r="C550" s="3" t="s">
        <v>35</v>
      </c>
      <c r="D550" s="3" t="s">
        <v>39</v>
      </c>
      <c r="E550" s="3" t="s">
        <v>30</v>
      </c>
      <c r="F550" s="3" t="s">
        <v>84</v>
      </c>
      <c r="G550" s="3">
        <v>2016</v>
      </c>
      <c r="H550" s="3" t="str">
        <f>CONCATENATE("64240429668")</f>
        <v>64240429668</v>
      </c>
      <c r="I550" s="3" t="s">
        <v>25</v>
      </c>
      <c r="J550" s="3" t="s">
        <v>26</v>
      </c>
      <c r="K550" s="3" t="str">
        <f t="shared" si="20"/>
        <v/>
      </c>
      <c r="L550" s="3" t="str">
        <f t="shared" ref="L550:L557" si="22">CONCATENATE("11 11.2 4b")</f>
        <v>11 11.2 4b</v>
      </c>
      <c r="M550" s="3" t="str">
        <f>CONCATENATE("MRNSDR74P29D451F")</f>
        <v>MRNSDR74P29D451F</v>
      </c>
      <c r="N550" s="3" t="s">
        <v>664</v>
      </c>
      <c r="O550" s="3"/>
      <c r="P550" s="4">
        <v>42783</v>
      </c>
      <c r="Q550" s="3" t="s">
        <v>27</v>
      </c>
      <c r="R550" s="3" t="s">
        <v>28</v>
      </c>
      <c r="S550" s="3" t="s">
        <v>29</v>
      </c>
      <c r="T550" s="5">
        <v>1901.26</v>
      </c>
      <c r="U550" s="3">
        <v>819.82</v>
      </c>
      <c r="V550" s="3">
        <v>757.08</v>
      </c>
      <c r="W550" s="3">
        <v>324.36</v>
      </c>
    </row>
    <row r="551" spans="1:23" ht="60.75">
      <c r="A551" s="3" t="s">
        <v>23</v>
      </c>
      <c r="B551" s="3" t="s">
        <v>24</v>
      </c>
      <c r="C551" s="3" t="s">
        <v>35</v>
      </c>
      <c r="D551" s="3" t="s">
        <v>48</v>
      </c>
      <c r="E551" s="3" t="s">
        <v>33</v>
      </c>
      <c r="F551" s="3" t="s">
        <v>212</v>
      </c>
      <c r="G551" s="3">
        <v>2016</v>
      </c>
      <c r="H551" s="3" t="str">
        <f>CONCATENATE("64240774196")</f>
        <v>64240774196</v>
      </c>
      <c r="I551" s="3" t="s">
        <v>25</v>
      </c>
      <c r="J551" s="3" t="s">
        <v>26</v>
      </c>
      <c r="K551" s="3" t="str">
        <f t="shared" si="20"/>
        <v/>
      </c>
      <c r="L551" s="3" t="str">
        <f t="shared" si="22"/>
        <v>11 11.2 4b</v>
      </c>
      <c r="M551" s="3" t="str">
        <f>CONCATENATE("SCRSFN70H68H211I")</f>
        <v>SCRSFN70H68H211I</v>
      </c>
      <c r="N551" s="3" t="s">
        <v>665</v>
      </c>
      <c r="O551" s="3"/>
      <c r="P551" s="4">
        <v>42783</v>
      </c>
      <c r="Q551" s="3" t="s">
        <v>27</v>
      </c>
      <c r="R551" s="3" t="s">
        <v>28</v>
      </c>
      <c r="S551" s="3" t="s">
        <v>29</v>
      </c>
      <c r="T551" s="5">
        <v>2576.7199999999998</v>
      </c>
      <c r="U551" s="5">
        <v>1111.08</v>
      </c>
      <c r="V551" s="5">
        <v>1026.05</v>
      </c>
      <c r="W551" s="3">
        <v>439.59</v>
      </c>
    </row>
    <row r="552" spans="1:23" ht="60.75">
      <c r="A552" s="3" t="s">
        <v>23</v>
      </c>
      <c r="B552" s="3" t="s">
        <v>24</v>
      </c>
      <c r="C552" s="3" t="s">
        <v>35</v>
      </c>
      <c r="D552" s="3" t="s">
        <v>48</v>
      </c>
      <c r="E552" s="3" t="s">
        <v>59</v>
      </c>
      <c r="F552" s="3" t="s">
        <v>240</v>
      </c>
      <c r="G552" s="3">
        <v>2016</v>
      </c>
      <c r="H552" s="3" t="str">
        <f>CONCATENATE("64240617874")</f>
        <v>64240617874</v>
      </c>
      <c r="I552" s="3" t="s">
        <v>25</v>
      </c>
      <c r="J552" s="3" t="s">
        <v>26</v>
      </c>
      <c r="K552" s="3" t="str">
        <f t="shared" si="20"/>
        <v/>
      </c>
      <c r="L552" s="3" t="str">
        <f t="shared" si="22"/>
        <v>11 11.2 4b</v>
      </c>
      <c r="M552" s="3" t="str">
        <f>CONCATENATE("MRTLSN83D13E783C")</f>
        <v>MRTLSN83D13E783C</v>
      </c>
      <c r="N552" s="3" t="s">
        <v>666</v>
      </c>
      <c r="O552" s="3"/>
      <c r="P552" s="4">
        <v>42783</v>
      </c>
      <c r="Q552" s="3" t="s">
        <v>27</v>
      </c>
      <c r="R552" s="3" t="s">
        <v>28</v>
      </c>
      <c r="S552" s="3" t="s">
        <v>29</v>
      </c>
      <c r="T552" s="5">
        <v>2850.75</v>
      </c>
      <c r="U552" s="5">
        <v>1229.24</v>
      </c>
      <c r="V552" s="5">
        <v>1135.17</v>
      </c>
      <c r="W552" s="3">
        <v>486.34</v>
      </c>
    </row>
    <row r="553" spans="1:23" ht="60.75">
      <c r="A553" s="3" t="s">
        <v>23</v>
      </c>
      <c r="B553" s="3" t="s">
        <v>24</v>
      </c>
      <c r="C553" s="3" t="s">
        <v>35</v>
      </c>
      <c r="D553" s="3" t="s">
        <v>48</v>
      </c>
      <c r="E553" s="3" t="s">
        <v>34</v>
      </c>
      <c r="F553" s="3" t="s">
        <v>141</v>
      </c>
      <c r="G553" s="3">
        <v>2016</v>
      </c>
      <c r="H553" s="3" t="str">
        <f>CONCATENATE("64240705257")</f>
        <v>64240705257</v>
      </c>
      <c r="I553" s="3" t="s">
        <v>25</v>
      </c>
      <c r="J553" s="3" t="s">
        <v>26</v>
      </c>
      <c r="K553" s="3" t="str">
        <f t="shared" si="20"/>
        <v/>
      </c>
      <c r="L553" s="3" t="str">
        <f t="shared" si="22"/>
        <v>11 11.2 4b</v>
      </c>
      <c r="M553" s="3" t="str">
        <f>CONCATENATE("DLLRFL60B21E783M")</f>
        <v>DLLRFL60B21E783M</v>
      </c>
      <c r="N553" s="3" t="s">
        <v>667</v>
      </c>
      <c r="O553" s="3"/>
      <c r="P553" s="4">
        <v>42783</v>
      </c>
      <c r="Q553" s="3" t="s">
        <v>27</v>
      </c>
      <c r="R553" s="3" t="s">
        <v>28</v>
      </c>
      <c r="S553" s="3" t="s">
        <v>29</v>
      </c>
      <c r="T553" s="5">
        <v>21407.47</v>
      </c>
      <c r="U553" s="5">
        <v>9230.9</v>
      </c>
      <c r="V553" s="5">
        <v>8524.4500000000007</v>
      </c>
      <c r="W553" s="5">
        <v>3652.12</v>
      </c>
    </row>
    <row r="554" spans="1:23" ht="36.75">
      <c r="A554" s="3" t="s">
        <v>23</v>
      </c>
      <c r="B554" s="3" t="s">
        <v>24</v>
      </c>
      <c r="C554" s="3" t="s">
        <v>35</v>
      </c>
      <c r="D554" s="3" t="s">
        <v>48</v>
      </c>
      <c r="E554" s="3" t="s">
        <v>30</v>
      </c>
      <c r="F554" s="3" t="s">
        <v>91</v>
      </c>
      <c r="G554" s="3">
        <v>2016</v>
      </c>
      <c r="H554" s="3" t="str">
        <f>CONCATENATE("64240312658")</f>
        <v>64240312658</v>
      </c>
      <c r="I554" s="3" t="s">
        <v>25</v>
      </c>
      <c r="J554" s="3" t="s">
        <v>26</v>
      </c>
      <c r="K554" s="3" t="str">
        <f t="shared" si="20"/>
        <v/>
      </c>
      <c r="L554" s="3" t="str">
        <f t="shared" si="22"/>
        <v>11 11.2 4b</v>
      </c>
      <c r="M554" s="3" t="str">
        <f>CONCATENATE("01866910431")</f>
        <v>01866910431</v>
      </c>
      <c r="N554" s="3" t="s">
        <v>668</v>
      </c>
      <c r="O554" s="3"/>
      <c r="P554" s="4">
        <v>42783</v>
      </c>
      <c r="Q554" s="3" t="s">
        <v>27</v>
      </c>
      <c r="R554" s="3" t="s">
        <v>28</v>
      </c>
      <c r="S554" s="3" t="s">
        <v>29</v>
      </c>
      <c r="T554" s="5">
        <v>3209.41</v>
      </c>
      <c r="U554" s="5">
        <v>1383.9</v>
      </c>
      <c r="V554" s="5">
        <v>1277.99</v>
      </c>
      <c r="W554" s="3">
        <v>547.52</v>
      </c>
    </row>
    <row r="555" spans="1:23" ht="36.75">
      <c r="A555" s="3" t="s">
        <v>23</v>
      </c>
      <c r="B555" s="3" t="s">
        <v>24</v>
      </c>
      <c r="C555" s="3" t="s">
        <v>35</v>
      </c>
      <c r="D555" s="3" t="s">
        <v>36</v>
      </c>
      <c r="E555" s="3" t="s">
        <v>30</v>
      </c>
      <c r="F555" s="3" t="s">
        <v>323</v>
      </c>
      <c r="G555" s="3">
        <v>2016</v>
      </c>
      <c r="H555" s="3" t="str">
        <f>CONCATENATE("64240513834")</f>
        <v>64240513834</v>
      </c>
      <c r="I555" s="3" t="s">
        <v>25</v>
      </c>
      <c r="J555" s="3" t="s">
        <v>26</v>
      </c>
      <c r="K555" s="3" t="str">
        <f t="shared" si="20"/>
        <v/>
      </c>
      <c r="L555" s="3" t="str">
        <f t="shared" si="22"/>
        <v>11 11.2 4b</v>
      </c>
      <c r="M555" s="3" t="str">
        <f>CONCATENATE("01762040671")</f>
        <v>01762040671</v>
      </c>
      <c r="N555" s="3" t="s">
        <v>669</v>
      </c>
      <c r="O555" s="3"/>
      <c r="P555" s="4">
        <v>42783</v>
      </c>
      <c r="Q555" s="3" t="s">
        <v>27</v>
      </c>
      <c r="R555" s="3" t="s">
        <v>28</v>
      </c>
      <c r="S555" s="3" t="s">
        <v>29</v>
      </c>
      <c r="T555" s="5">
        <v>8478.86</v>
      </c>
      <c r="U555" s="5">
        <v>3656.08</v>
      </c>
      <c r="V555" s="5">
        <v>3376.28</v>
      </c>
      <c r="W555" s="5">
        <v>1446.5</v>
      </c>
    </row>
    <row r="556" spans="1:23" ht="72.75">
      <c r="A556" s="3" t="s">
        <v>23</v>
      </c>
      <c r="B556" s="3" t="s">
        <v>24</v>
      </c>
      <c r="C556" s="3" t="s">
        <v>35</v>
      </c>
      <c r="D556" s="3" t="s">
        <v>36</v>
      </c>
      <c r="E556" s="3" t="s">
        <v>42</v>
      </c>
      <c r="F556" s="3" t="s">
        <v>42</v>
      </c>
      <c r="G556" s="3">
        <v>2016</v>
      </c>
      <c r="H556" s="3" t="str">
        <f>CONCATENATE("64240168563")</f>
        <v>64240168563</v>
      </c>
      <c r="I556" s="3" t="s">
        <v>25</v>
      </c>
      <c r="J556" s="3" t="s">
        <v>26</v>
      </c>
      <c r="K556" s="3" t="str">
        <f t="shared" si="20"/>
        <v/>
      </c>
      <c r="L556" s="3" t="str">
        <f t="shared" si="22"/>
        <v>11 11.2 4b</v>
      </c>
      <c r="M556" s="3" t="str">
        <f>CONCATENATE("TRNMSM74T31G005P")</f>
        <v>TRNMSM74T31G005P</v>
      </c>
      <c r="N556" s="3" t="s">
        <v>670</v>
      </c>
      <c r="O556" s="3"/>
      <c r="P556" s="4">
        <v>42783</v>
      </c>
      <c r="Q556" s="3" t="s">
        <v>27</v>
      </c>
      <c r="R556" s="3" t="s">
        <v>28</v>
      </c>
      <c r="S556" s="3" t="s">
        <v>29</v>
      </c>
      <c r="T556" s="3">
        <v>763.57</v>
      </c>
      <c r="U556" s="3">
        <v>329.25</v>
      </c>
      <c r="V556" s="3">
        <v>304.05</v>
      </c>
      <c r="W556" s="3">
        <v>130.27000000000001</v>
      </c>
    </row>
    <row r="557" spans="1:23" ht="36.75">
      <c r="A557" s="3" t="s">
        <v>23</v>
      </c>
      <c r="B557" s="3" t="s">
        <v>24</v>
      </c>
      <c r="C557" s="3" t="s">
        <v>35</v>
      </c>
      <c r="D557" s="3" t="s">
        <v>36</v>
      </c>
      <c r="E557" s="3" t="s">
        <v>32</v>
      </c>
      <c r="F557" s="3" t="s">
        <v>208</v>
      </c>
      <c r="G557" s="3">
        <v>2016</v>
      </c>
      <c r="H557" s="3" t="str">
        <f>CONCATENATE("64240286928")</f>
        <v>64240286928</v>
      </c>
      <c r="I557" s="3" t="s">
        <v>25</v>
      </c>
      <c r="J557" s="3" t="s">
        <v>26</v>
      </c>
      <c r="K557" s="3" t="str">
        <f t="shared" si="20"/>
        <v/>
      </c>
      <c r="L557" s="3" t="str">
        <f t="shared" si="22"/>
        <v>11 11.2 4b</v>
      </c>
      <c r="M557" s="3" t="str">
        <f>CONCATENATE("01604640449")</f>
        <v>01604640449</v>
      </c>
      <c r="N557" s="3" t="s">
        <v>671</v>
      </c>
      <c r="O557" s="3"/>
      <c r="P557" s="4">
        <v>42783</v>
      </c>
      <c r="Q557" s="3" t="s">
        <v>27</v>
      </c>
      <c r="R557" s="3" t="s">
        <v>28</v>
      </c>
      <c r="S557" s="3" t="s">
        <v>29</v>
      </c>
      <c r="T557" s="5">
        <v>31782.32</v>
      </c>
      <c r="U557" s="5">
        <v>13704.54</v>
      </c>
      <c r="V557" s="5">
        <v>12655.72</v>
      </c>
      <c r="W557" s="5">
        <v>5422.06</v>
      </c>
    </row>
    <row r="558" spans="1:23" ht="60.75">
      <c r="A558" s="3" t="s">
        <v>23</v>
      </c>
      <c r="B558" s="3" t="s">
        <v>24</v>
      </c>
      <c r="C558" s="3" t="s">
        <v>35</v>
      </c>
      <c r="D558" s="3" t="s">
        <v>48</v>
      </c>
      <c r="E558" s="3" t="s">
        <v>30</v>
      </c>
      <c r="F558" s="3" t="s">
        <v>91</v>
      </c>
      <c r="G558" s="3">
        <v>2016</v>
      </c>
      <c r="H558" s="3" t="str">
        <f>CONCATENATE("64210581076")</f>
        <v>64210581076</v>
      </c>
      <c r="I558" s="3" t="s">
        <v>25</v>
      </c>
      <c r="J558" s="3" t="s">
        <v>26</v>
      </c>
      <c r="K558" s="3" t="str">
        <f t="shared" ref="K558:K621" si="23">CONCATENATE("")</f>
        <v/>
      </c>
      <c r="L558" s="3" t="str">
        <f>CONCATENATE("13 13.1 4a")</f>
        <v>13 13.1 4a</v>
      </c>
      <c r="M558" s="3" t="str">
        <f>CONCATENATE("GRNMRZ46D23D628L")</f>
        <v>GRNMRZ46D23D628L</v>
      </c>
      <c r="N558" s="3" t="s">
        <v>672</v>
      </c>
      <c r="O558" s="3"/>
      <c r="P558" s="4">
        <v>42783</v>
      </c>
      <c r="Q558" s="3" t="s">
        <v>27</v>
      </c>
      <c r="R558" s="3" t="s">
        <v>28</v>
      </c>
      <c r="S558" s="3" t="s">
        <v>29</v>
      </c>
      <c r="T558" s="5">
        <v>4496.51</v>
      </c>
      <c r="U558" s="5">
        <v>1938.9</v>
      </c>
      <c r="V558" s="5">
        <v>1790.51</v>
      </c>
      <c r="W558" s="3">
        <v>767.1</v>
      </c>
    </row>
    <row r="559" spans="1:23" ht="60.75">
      <c r="A559" s="3" t="s">
        <v>23</v>
      </c>
      <c r="B559" s="3" t="s">
        <v>24</v>
      </c>
      <c r="C559" s="3" t="s">
        <v>35</v>
      </c>
      <c r="D559" s="3" t="s">
        <v>48</v>
      </c>
      <c r="E559" s="3" t="s">
        <v>30</v>
      </c>
      <c r="F559" s="3" t="s">
        <v>111</v>
      </c>
      <c r="G559" s="3">
        <v>2016</v>
      </c>
      <c r="H559" s="3" t="str">
        <f>CONCATENATE("64240736476")</f>
        <v>64240736476</v>
      </c>
      <c r="I559" s="3" t="s">
        <v>25</v>
      </c>
      <c r="J559" s="3" t="s">
        <v>26</v>
      </c>
      <c r="K559" s="3" t="str">
        <f t="shared" si="23"/>
        <v/>
      </c>
      <c r="L559" s="3" t="str">
        <f>CONCATENATE("11 11.2 4b")</f>
        <v>11 11.2 4b</v>
      </c>
      <c r="M559" s="3" t="str">
        <f>CONCATENATE("BNFMRC79L25E783Z")</f>
        <v>BNFMRC79L25E783Z</v>
      </c>
      <c r="N559" s="3" t="s">
        <v>673</v>
      </c>
      <c r="O559" s="3"/>
      <c r="P559" s="4">
        <v>42783</v>
      </c>
      <c r="Q559" s="3" t="s">
        <v>27</v>
      </c>
      <c r="R559" s="3" t="s">
        <v>28</v>
      </c>
      <c r="S559" s="3" t="s">
        <v>29</v>
      </c>
      <c r="T559" s="5">
        <v>4049.96</v>
      </c>
      <c r="U559" s="5">
        <v>1746.34</v>
      </c>
      <c r="V559" s="5">
        <v>1612.69</v>
      </c>
      <c r="W559" s="3">
        <v>690.93</v>
      </c>
    </row>
    <row r="560" spans="1:23" ht="60.75">
      <c r="A560" s="3" t="s">
        <v>23</v>
      </c>
      <c r="B560" s="3" t="s">
        <v>24</v>
      </c>
      <c r="C560" s="3" t="s">
        <v>35</v>
      </c>
      <c r="D560" s="3" t="s">
        <v>43</v>
      </c>
      <c r="E560" s="3" t="s">
        <v>32</v>
      </c>
      <c r="F560" s="3" t="s">
        <v>78</v>
      </c>
      <c r="G560" s="3">
        <v>2016</v>
      </c>
      <c r="H560" s="3" t="str">
        <f>CONCATENATE("64210810210")</f>
        <v>64210810210</v>
      </c>
      <c r="I560" s="3" t="s">
        <v>25</v>
      </c>
      <c r="J560" s="3" t="s">
        <v>26</v>
      </c>
      <c r="K560" s="3" t="str">
        <f t="shared" si="23"/>
        <v/>
      </c>
      <c r="L560" s="3" t="str">
        <f>CONCATENATE("13 13.1 4a")</f>
        <v>13 13.1 4a</v>
      </c>
      <c r="M560" s="3" t="str">
        <f>CONCATENATE("BTTDNL62C26L500B")</f>
        <v>BTTDNL62C26L500B</v>
      </c>
      <c r="N560" s="3" t="s">
        <v>674</v>
      </c>
      <c r="O560" s="3"/>
      <c r="P560" s="4">
        <v>42783</v>
      </c>
      <c r="Q560" s="3" t="s">
        <v>27</v>
      </c>
      <c r="R560" s="3" t="s">
        <v>28</v>
      </c>
      <c r="S560" s="3" t="s">
        <v>29</v>
      </c>
      <c r="T560" s="5">
        <v>4204.6000000000004</v>
      </c>
      <c r="U560" s="5">
        <v>1813.02</v>
      </c>
      <c r="V560" s="5">
        <v>1674.27</v>
      </c>
      <c r="W560" s="3">
        <v>717.31</v>
      </c>
    </row>
    <row r="561" spans="1:23" ht="60.75">
      <c r="A561" s="3" t="s">
        <v>23</v>
      </c>
      <c r="B561" s="3" t="s">
        <v>24</v>
      </c>
      <c r="C561" s="3" t="s">
        <v>35</v>
      </c>
      <c r="D561" s="3" t="s">
        <v>43</v>
      </c>
      <c r="E561" s="3" t="s">
        <v>32</v>
      </c>
      <c r="F561" s="3" t="s">
        <v>78</v>
      </c>
      <c r="G561" s="3">
        <v>2016</v>
      </c>
      <c r="H561" s="3" t="str">
        <f>CONCATENATE("64240320057")</f>
        <v>64240320057</v>
      </c>
      <c r="I561" s="3" t="s">
        <v>25</v>
      </c>
      <c r="J561" s="3" t="s">
        <v>26</v>
      </c>
      <c r="K561" s="3" t="str">
        <f t="shared" si="23"/>
        <v/>
      </c>
      <c r="L561" s="3" t="str">
        <f t="shared" ref="L561:L567" si="24">CONCATENATE("11 11.2 4b")</f>
        <v>11 11.2 4b</v>
      </c>
      <c r="M561" s="3" t="str">
        <f>CONCATENATE("CNTRLL57B65I670E")</f>
        <v>CNTRLL57B65I670E</v>
      </c>
      <c r="N561" s="3" t="s">
        <v>675</v>
      </c>
      <c r="O561" s="3"/>
      <c r="P561" s="4">
        <v>42783</v>
      </c>
      <c r="Q561" s="3" t="s">
        <v>27</v>
      </c>
      <c r="R561" s="3" t="s">
        <v>28</v>
      </c>
      <c r="S561" s="3" t="s">
        <v>29</v>
      </c>
      <c r="T561" s="5">
        <v>1187.8699999999999</v>
      </c>
      <c r="U561" s="3">
        <v>512.21</v>
      </c>
      <c r="V561" s="3">
        <v>473.01</v>
      </c>
      <c r="W561" s="3">
        <v>202.65</v>
      </c>
    </row>
    <row r="562" spans="1:23" ht="60.75">
      <c r="A562" s="3" t="s">
        <v>23</v>
      </c>
      <c r="B562" s="3" t="s">
        <v>24</v>
      </c>
      <c r="C562" s="3" t="s">
        <v>35</v>
      </c>
      <c r="D562" s="3" t="s">
        <v>48</v>
      </c>
      <c r="E562" s="3" t="s">
        <v>30</v>
      </c>
      <c r="F562" s="3" t="s">
        <v>91</v>
      </c>
      <c r="G562" s="3">
        <v>2016</v>
      </c>
      <c r="H562" s="3" t="str">
        <f>CONCATENATE("64240316733")</f>
        <v>64240316733</v>
      </c>
      <c r="I562" s="3" t="s">
        <v>25</v>
      </c>
      <c r="J562" s="3" t="s">
        <v>26</v>
      </c>
      <c r="K562" s="3" t="str">
        <f t="shared" si="23"/>
        <v/>
      </c>
      <c r="L562" s="3" t="str">
        <f t="shared" si="24"/>
        <v>11 11.2 4b</v>
      </c>
      <c r="M562" s="3" t="str">
        <f>CONCATENATE("LBBFNC75R20F051Y")</f>
        <v>LBBFNC75R20F051Y</v>
      </c>
      <c r="N562" s="3" t="s">
        <v>676</v>
      </c>
      <c r="O562" s="3"/>
      <c r="P562" s="4">
        <v>42783</v>
      </c>
      <c r="Q562" s="3" t="s">
        <v>27</v>
      </c>
      <c r="R562" s="3" t="s">
        <v>28</v>
      </c>
      <c r="S562" s="3" t="s">
        <v>29</v>
      </c>
      <c r="T562" s="5">
        <v>6054.07</v>
      </c>
      <c r="U562" s="5">
        <v>2610.5100000000002</v>
      </c>
      <c r="V562" s="5">
        <v>2410.73</v>
      </c>
      <c r="W562" s="5">
        <v>1032.83</v>
      </c>
    </row>
    <row r="563" spans="1:23" ht="60.75">
      <c r="A563" s="3" t="s">
        <v>23</v>
      </c>
      <c r="B563" s="3" t="s">
        <v>24</v>
      </c>
      <c r="C563" s="3" t="s">
        <v>35</v>
      </c>
      <c r="D563" s="3" t="s">
        <v>36</v>
      </c>
      <c r="E563" s="3" t="s">
        <v>32</v>
      </c>
      <c r="F563" s="3" t="s">
        <v>208</v>
      </c>
      <c r="G563" s="3">
        <v>2016</v>
      </c>
      <c r="H563" s="3" t="str">
        <f>CONCATENATE("64240298758")</f>
        <v>64240298758</v>
      </c>
      <c r="I563" s="3" t="s">
        <v>25</v>
      </c>
      <c r="J563" s="3" t="s">
        <v>26</v>
      </c>
      <c r="K563" s="3" t="str">
        <f t="shared" si="23"/>
        <v/>
      </c>
      <c r="L563" s="3" t="str">
        <f t="shared" si="24"/>
        <v>11 11.2 4b</v>
      </c>
      <c r="M563" s="3" t="str">
        <f>CONCATENATE("RSSLNU58E55E207H")</f>
        <v>RSSLNU58E55E207H</v>
      </c>
      <c r="N563" s="3" t="s">
        <v>677</v>
      </c>
      <c r="O563" s="3"/>
      <c r="P563" s="4">
        <v>42783</v>
      </c>
      <c r="Q563" s="3" t="s">
        <v>27</v>
      </c>
      <c r="R563" s="3" t="s">
        <v>28</v>
      </c>
      <c r="S563" s="3" t="s">
        <v>29</v>
      </c>
      <c r="T563" s="5">
        <v>1768.8</v>
      </c>
      <c r="U563" s="3">
        <v>762.71</v>
      </c>
      <c r="V563" s="3">
        <v>704.34</v>
      </c>
      <c r="W563" s="3">
        <v>301.75</v>
      </c>
    </row>
    <row r="564" spans="1:23" ht="60.75">
      <c r="A564" s="3" t="s">
        <v>23</v>
      </c>
      <c r="B564" s="3" t="s">
        <v>24</v>
      </c>
      <c r="C564" s="3" t="s">
        <v>35</v>
      </c>
      <c r="D564" s="3" t="s">
        <v>48</v>
      </c>
      <c r="E564" s="3" t="s">
        <v>34</v>
      </c>
      <c r="F564" s="3" t="s">
        <v>141</v>
      </c>
      <c r="G564" s="3">
        <v>2016</v>
      </c>
      <c r="H564" s="3" t="str">
        <f>CONCATENATE("64240179362")</f>
        <v>64240179362</v>
      </c>
      <c r="I564" s="3" t="s">
        <v>25</v>
      </c>
      <c r="J564" s="3" t="s">
        <v>26</v>
      </c>
      <c r="K564" s="3" t="str">
        <f t="shared" si="23"/>
        <v/>
      </c>
      <c r="L564" s="3" t="str">
        <f t="shared" si="24"/>
        <v>11 11.2 4b</v>
      </c>
      <c r="M564" s="3" t="str">
        <f>CONCATENATE("CHRGRL57L28E783W")</f>
        <v>CHRGRL57L28E783W</v>
      </c>
      <c r="N564" s="3" t="s">
        <v>678</v>
      </c>
      <c r="O564" s="3"/>
      <c r="P564" s="4">
        <v>42783</v>
      </c>
      <c r="Q564" s="3" t="s">
        <v>27</v>
      </c>
      <c r="R564" s="3" t="s">
        <v>28</v>
      </c>
      <c r="S564" s="3" t="s">
        <v>29</v>
      </c>
      <c r="T564" s="5">
        <v>3917.93</v>
      </c>
      <c r="U564" s="5">
        <v>1689.41</v>
      </c>
      <c r="V564" s="5">
        <v>1560.12</v>
      </c>
      <c r="W564" s="3">
        <v>668.4</v>
      </c>
    </row>
    <row r="565" spans="1:23" ht="60.75">
      <c r="A565" s="3" t="s">
        <v>23</v>
      </c>
      <c r="B565" s="3" t="s">
        <v>24</v>
      </c>
      <c r="C565" s="3" t="s">
        <v>35</v>
      </c>
      <c r="D565" s="3" t="s">
        <v>36</v>
      </c>
      <c r="E565" s="3" t="s">
        <v>30</v>
      </c>
      <c r="F565" s="3" t="s">
        <v>86</v>
      </c>
      <c r="G565" s="3">
        <v>2016</v>
      </c>
      <c r="H565" s="3" t="str">
        <f>CONCATENATE("64240901021")</f>
        <v>64240901021</v>
      </c>
      <c r="I565" s="3" t="s">
        <v>25</v>
      </c>
      <c r="J565" s="3" t="s">
        <v>26</v>
      </c>
      <c r="K565" s="3" t="str">
        <f t="shared" si="23"/>
        <v/>
      </c>
      <c r="L565" s="3" t="str">
        <f t="shared" si="24"/>
        <v>11 11.2 4b</v>
      </c>
      <c r="M565" s="3" t="str">
        <f>CONCATENATE("SNTSNT61L55A437H")</f>
        <v>SNTSNT61L55A437H</v>
      </c>
      <c r="N565" s="3" t="s">
        <v>679</v>
      </c>
      <c r="O565" s="3"/>
      <c r="P565" s="4">
        <v>42783</v>
      </c>
      <c r="Q565" s="3" t="s">
        <v>27</v>
      </c>
      <c r="R565" s="3" t="s">
        <v>28</v>
      </c>
      <c r="S565" s="3" t="s">
        <v>29</v>
      </c>
      <c r="T565" s="5">
        <v>7266.8</v>
      </c>
      <c r="U565" s="5">
        <v>3133.44</v>
      </c>
      <c r="V565" s="5">
        <v>2893.64</v>
      </c>
      <c r="W565" s="5">
        <v>1239.72</v>
      </c>
    </row>
    <row r="566" spans="1:23" ht="60.75">
      <c r="A566" s="3" t="s">
        <v>23</v>
      </c>
      <c r="B566" s="3" t="s">
        <v>24</v>
      </c>
      <c r="C566" s="3" t="s">
        <v>35</v>
      </c>
      <c r="D566" s="3" t="s">
        <v>36</v>
      </c>
      <c r="E566" s="3" t="s">
        <v>30</v>
      </c>
      <c r="F566" s="3" t="s">
        <v>86</v>
      </c>
      <c r="G566" s="3">
        <v>2016</v>
      </c>
      <c r="H566" s="3" t="str">
        <f>CONCATENATE("64240644662")</f>
        <v>64240644662</v>
      </c>
      <c r="I566" s="3" t="s">
        <v>25</v>
      </c>
      <c r="J566" s="3" t="s">
        <v>26</v>
      </c>
      <c r="K566" s="3" t="str">
        <f t="shared" si="23"/>
        <v/>
      </c>
      <c r="L566" s="3" t="str">
        <f t="shared" si="24"/>
        <v>11 11.2 4b</v>
      </c>
      <c r="M566" s="3" t="str">
        <f>CONCATENATE("NNCMLD47P65C321C")</f>
        <v>NNCMLD47P65C321C</v>
      </c>
      <c r="N566" s="3" t="s">
        <v>680</v>
      </c>
      <c r="O566" s="3"/>
      <c r="P566" s="4">
        <v>42783</v>
      </c>
      <c r="Q566" s="3" t="s">
        <v>27</v>
      </c>
      <c r="R566" s="3" t="s">
        <v>28</v>
      </c>
      <c r="S566" s="3" t="s">
        <v>29</v>
      </c>
      <c r="T566" s="5">
        <v>1393.05</v>
      </c>
      <c r="U566" s="3">
        <v>600.67999999999995</v>
      </c>
      <c r="V566" s="3">
        <v>554.71</v>
      </c>
      <c r="W566" s="3">
        <v>237.66</v>
      </c>
    </row>
    <row r="567" spans="1:23" ht="36.75">
      <c r="A567" s="3" t="s">
        <v>23</v>
      </c>
      <c r="B567" s="3" t="s">
        <v>24</v>
      </c>
      <c r="C567" s="3" t="s">
        <v>35</v>
      </c>
      <c r="D567" s="3" t="s">
        <v>43</v>
      </c>
      <c r="E567" s="3" t="s">
        <v>49</v>
      </c>
      <c r="F567" s="3" t="s">
        <v>139</v>
      </c>
      <c r="G567" s="3">
        <v>2016</v>
      </c>
      <c r="H567" s="3" t="str">
        <f>CONCATENATE("64240348017")</f>
        <v>64240348017</v>
      </c>
      <c r="I567" s="3" t="s">
        <v>25</v>
      </c>
      <c r="J567" s="3" t="s">
        <v>26</v>
      </c>
      <c r="K567" s="3" t="str">
        <f t="shared" si="23"/>
        <v/>
      </c>
      <c r="L567" s="3" t="str">
        <f t="shared" si="24"/>
        <v>11 11.2 4b</v>
      </c>
      <c r="M567" s="3" t="str">
        <f>CONCATENATE("02453800415")</f>
        <v>02453800415</v>
      </c>
      <c r="N567" s="3" t="s">
        <v>681</v>
      </c>
      <c r="O567" s="3"/>
      <c r="P567" s="4">
        <v>42783</v>
      </c>
      <c r="Q567" s="3" t="s">
        <v>27</v>
      </c>
      <c r="R567" s="3" t="s">
        <v>28</v>
      </c>
      <c r="S567" s="3" t="s">
        <v>29</v>
      </c>
      <c r="T567" s="5">
        <v>1937.97</v>
      </c>
      <c r="U567" s="3">
        <v>835.65</v>
      </c>
      <c r="V567" s="3">
        <v>771.7</v>
      </c>
      <c r="W567" s="3">
        <v>330.62</v>
      </c>
    </row>
    <row r="568" spans="1:23" ht="60.75">
      <c r="A568" s="3" t="s">
        <v>23</v>
      </c>
      <c r="B568" s="3" t="s">
        <v>24</v>
      </c>
      <c r="C568" s="3" t="s">
        <v>35</v>
      </c>
      <c r="D568" s="3" t="s">
        <v>43</v>
      </c>
      <c r="E568" s="3" t="s">
        <v>33</v>
      </c>
      <c r="F568" s="3" t="s">
        <v>46</v>
      </c>
      <c r="G568" s="3">
        <v>2016</v>
      </c>
      <c r="H568" s="3" t="str">
        <f>CONCATENATE("64210860785")</f>
        <v>64210860785</v>
      </c>
      <c r="I568" s="3" t="s">
        <v>25</v>
      </c>
      <c r="J568" s="3" t="s">
        <v>26</v>
      </c>
      <c r="K568" s="3" t="str">
        <f t="shared" si="23"/>
        <v/>
      </c>
      <c r="L568" s="3" t="str">
        <f>CONCATENATE("13 13.1 4a")</f>
        <v>13 13.1 4a</v>
      </c>
      <c r="M568" s="3" t="str">
        <f>CONCATENATE("PRCLNS83L06A783R")</f>
        <v>PRCLNS83L06A783R</v>
      </c>
      <c r="N568" s="3" t="s">
        <v>682</v>
      </c>
      <c r="O568" s="3"/>
      <c r="P568" s="4">
        <v>42783</v>
      </c>
      <c r="Q568" s="3" t="s">
        <v>27</v>
      </c>
      <c r="R568" s="3" t="s">
        <v>28</v>
      </c>
      <c r="S568" s="3" t="s">
        <v>29</v>
      </c>
      <c r="T568" s="5">
        <v>3983.98</v>
      </c>
      <c r="U568" s="5">
        <v>1717.89</v>
      </c>
      <c r="V568" s="5">
        <v>1586.42</v>
      </c>
      <c r="W568" s="3">
        <v>679.67</v>
      </c>
    </row>
    <row r="569" spans="1:23" ht="60.75">
      <c r="A569" s="3" t="s">
        <v>23</v>
      </c>
      <c r="B569" s="3" t="s">
        <v>24</v>
      </c>
      <c r="C569" s="3" t="s">
        <v>35</v>
      </c>
      <c r="D569" s="3" t="s">
        <v>43</v>
      </c>
      <c r="E569" s="3" t="s">
        <v>33</v>
      </c>
      <c r="F569" s="3" t="s">
        <v>46</v>
      </c>
      <c r="G569" s="3">
        <v>2016</v>
      </c>
      <c r="H569" s="3" t="str">
        <f>CONCATENATE("64240651923")</f>
        <v>64240651923</v>
      </c>
      <c r="I569" s="3" t="s">
        <v>25</v>
      </c>
      <c r="J569" s="3" t="s">
        <v>26</v>
      </c>
      <c r="K569" s="3" t="str">
        <f t="shared" si="23"/>
        <v/>
      </c>
      <c r="L569" s="3" t="str">
        <f>CONCATENATE("10 10.1 4a")</f>
        <v>10 10.1 4a</v>
      </c>
      <c r="M569" s="3" t="str">
        <f>CONCATENATE("PRCLNS83L06A783R")</f>
        <v>PRCLNS83L06A783R</v>
      </c>
      <c r="N569" s="3" t="s">
        <v>682</v>
      </c>
      <c r="O569" s="3"/>
      <c r="P569" s="4">
        <v>42783</v>
      </c>
      <c r="Q569" s="3" t="s">
        <v>27</v>
      </c>
      <c r="R569" s="3" t="s">
        <v>28</v>
      </c>
      <c r="S569" s="3" t="s">
        <v>29</v>
      </c>
      <c r="T569" s="5">
        <v>3206.1</v>
      </c>
      <c r="U569" s="5">
        <v>1382.47</v>
      </c>
      <c r="V569" s="5">
        <v>1276.67</v>
      </c>
      <c r="W569" s="3">
        <v>546.96</v>
      </c>
    </row>
    <row r="570" spans="1:23" ht="36.75">
      <c r="A570" s="3" t="s">
        <v>23</v>
      </c>
      <c r="B570" s="3" t="s">
        <v>24</v>
      </c>
      <c r="C570" s="3" t="s">
        <v>35</v>
      </c>
      <c r="D570" s="3" t="s">
        <v>48</v>
      </c>
      <c r="E570" s="3" t="s">
        <v>30</v>
      </c>
      <c r="F570" s="3" t="s">
        <v>157</v>
      </c>
      <c r="G570" s="3">
        <v>2016</v>
      </c>
      <c r="H570" s="3" t="str">
        <f>CONCATENATE("64240692224")</f>
        <v>64240692224</v>
      </c>
      <c r="I570" s="3" t="s">
        <v>25</v>
      </c>
      <c r="J570" s="3" t="s">
        <v>26</v>
      </c>
      <c r="K570" s="3" t="str">
        <f t="shared" si="23"/>
        <v/>
      </c>
      <c r="L570" s="3" t="str">
        <f>CONCATENATE("11 11.1 4b")</f>
        <v>11 11.1 4b</v>
      </c>
      <c r="M570" s="3" t="str">
        <f>CONCATENATE("01912770433")</f>
        <v>01912770433</v>
      </c>
      <c r="N570" s="3" t="s">
        <v>683</v>
      </c>
      <c r="O570" s="3"/>
      <c r="P570" s="4">
        <v>42783</v>
      </c>
      <c r="Q570" s="3" t="s">
        <v>27</v>
      </c>
      <c r="R570" s="3" t="s">
        <v>28</v>
      </c>
      <c r="S570" s="3" t="s">
        <v>29</v>
      </c>
      <c r="T570" s="5">
        <v>7853.8</v>
      </c>
      <c r="U570" s="5">
        <v>3386.56</v>
      </c>
      <c r="V570" s="5">
        <v>3127.38</v>
      </c>
      <c r="W570" s="5">
        <v>1339.86</v>
      </c>
    </row>
    <row r="571" spans="1:23" ht="60.75">
      <c r="A571" s="3" t="s">
        <v>23</v>
      </c>
      <c r="B571" s="3" t="s">
        <v>24</v>
      </c>
      <c r="C571" s="3" t="s">
        <v>35</v>
      </c>
      <c r="D571" s="3" t="s">
        <v>48</v>
      </c>
      <c r="E571" s="3" t="s">
        <v>49</v>
      </c>
      <c r="F571" s="3" t="s">
        <v>80</v>
      </c>
      <c r="G571" s="3">
        <v>2016</v>
      </c>
      <c r="H571" s="3" t="str">
        <f>CONCATENATE("64210675589")</f>
        <v>64210675589</v>
      </c>
      <c r="I571" s="3" t="s">
        <v>25</v>
      </c>
      <c r="J571" s="3" t="s">
        <v>26</v>
      </c>
      <c r="K571" s="3" t="str">
        <f t="shared" si="23"/>
        <v/>
      </c>
      <c r="L571" s="3" t="str">
        <f>CONCATENATE("13 13.1 4a")</f>
        <v>13 13.1 4a</v>
      </c>
      <c r="M571" s="3" t="str">
        <f>CONCATENATE("SCRMRA30B56C203F")</f>
        <v>SCRMRA30B56C203F</v>
      </c>
      <c r="N571" s="3" t="s">
        <v>684</v>
      </c>
      <c r="O571" s="3"/>
      <c r="P571" s="4">
        <v>42783</v>
      </c>
      <c r="Q571" s="3" t="s">
        <v>27</v>
      </c>
      <c r="R571" s="3" t="s">
        <v>28</v>
      </c>
      <c r="S571" s="3" t="s">
        <v>29</v>
      </c>
      <c r="T571" s="5">
        <v>4590</v>
      </c>
      <c r="U571" s="5">
        <v>1979.21</v>
      </c>
      <c r="V571" s="5">
        <v>1827.74</v>
      </c>
      <c r="W571" s="3">
        <v>783.05</v>
      </c>
    </row>
    <row r="572" spans="1:23" ht="36.75">
      <c r="A572" s="3" t="s">
        <v>23</v>
      </c>
      <c r="B572" s="3" t="s">
        <v>24</v>
      </c>
      <c r="C572" s="3" t="s">
        <v>35</v>
      </c>
      <c r="D572" s="3" t="s">
        <v>48</v>
      </c>
      <c r="E572" s="3" t="s">
        <v>30</v>
      </c>
      <c r="F572" s="3" t="s">
        <v>289</v>
      </c>
      <c r="G572" s="3">
        <v>2016</v>
      </c>
      <c r="H572" s="3" t="str">
        <f>CONCATENATE("64240347662")</f>
        <v>64240347662</v>
      </c>
      <c r="I572" s="3" t="s">
        <v>25</v>
      </c>
      <c r="J572" s="3" t="s">
        <v>26</v>
      </c>
      <c r="K572" s="3" t="str">
        <f t="shared" si="23"/>
        <v/>
      </c>
      <c r="L572" s="3" t="str">
        <f>CONCATENATE("11 11.2 4b")</f>
        <v>11 11.2 4b</v>
      </c>
      <c r="M572" s="3" t="str">
        <f>CONCATENATE("01176360434")</f>
        <v>01176360434</v>
      </c>
      <c r="N572" s="3" t="s">
        <v>685</v>
      </c>
      <c r="O572" s="3"/>
      <c r="P572" s="4">
        <v>42783</v>
      </c>
      <c r="Q572" s="3" t="s">
        <v>27</v>
      </c>
      <c r="R572" s="3" t="s">
        <v>28</v>
      </c>
      <c r="S572" s="3" t="s">
        <v>29</v>
      </c>
      <c r="T572" s="5">
        <v>1061.0999999999999</v>
      </c>
      <c r="U572" s="3">
        <v>457.55</v>
      </c>
      <c r="V572" s="3">
        <v>422.53</v>
      </c>
      <c r="W572" s="3">
        <v>181.02</v>
      </c>
    </row>
    <row r="573" spans="1:23" ht="72.75">
      <c r="A573" s="3" t="s">
        <v>23</v>
      </c>
      <c r="B573" s="3" t="s">
        <v>24</v>
      </c>
      <c r="C573" s="3" t="s">
        <v>35</v>
      </c>
      <c r="D573" s="3" t="s">
        <v>39</v>
      </c>
      <c r="E573" s="3" t="s">
        <v>30</v>
      </c>
      <c r="F573" s="3" t="s">
        <v>84</v>
      </c>
      <c r="G573" s="3">
        <v>2016</v>
      </c>
      <c r="H573" s="3" t="str">
        <f>CONCATENATE("64240552972")</f>
        <v>64240552972</v>
      </c>
      <c r="I573" s="3" t="s">
        <v>25</v>
      </c>
      <c r="J573" s="3" t="s">
        <v>26</v>
      </c>
      <c r="K573" s="3" t="str">
        <f t="shared" si="23"/>
        <v/>
      </c>
      <c r="L573" s="3" t="str">
        <f>CONCATENATE("11 11.2 4b")</f>
        <v>11 11.2 4b</v>
      </c>
      <c r="M573" s="3" t="str">
        <f>CONCATENATE("PTRMNG65E51D451P")</f>
        <v>PTRMNG65E51D451P</v>
      </c>
      <c r="N573" s="3" t="s">
        <v>686</v>
      </c>
      <c r="O573" s="3"/>
      <c r="P573" s="4">
        <v>42783</v>
      </c>
      <c r="Q573" s="3" t="s">
        <v>27</v>
      </c>
      <c r="R573" s="3" t="s">
        <v>28</v>
      </c>
      <c r="S573" s="3" t="s">
        <v>29</v>
      </c>
      <c r="T573" s="5">
        <v>1147.08</v>
      </c>
      <c r="U573" s="3">
        <v>494.62</v>
      </c>
      <c r="V573" s="3">
        <v>456.77</v>
      </c>
      <c r="W573" s="3">
        <v>195.69</v>
      </c>
    </row>
    <row r="574" spans="1:23" ht="60.75">
      <c r="A574" s="3" t="s">
        <v>23</v>
      </c>
      <c r="B574" s="3" t="s">
        <v>24</v>
      </c>
      <c r="C574" s="3" t="s">
        <v>35</v>
      </c>
      <c r="D574" s="3" t="s">
        <v>43</v>
      </c>
      <c r="E574" s="3" t="s">
        <v>32</v>
      </c>
      <c r="F574" s="3" t="s">
        <v>119</v>
      </c>
      <c r="G574" s="3">
        <v>2016</v>
      </c>
      <c r="H574" s="3" t="str">
        <f>CONCATENATE("64240233565")</f>
        <v>64240233565</v>
      </c>
      <c r="I574" s="3" t="s">
        <v>25</v>
      </c>
      <c r="J574" s="3" t="s">
        <v>26</v>
      </c>
      <c r="K574" s="3" t="str">
        <f t="shared" si="23"/>
        <v/>
      </c>
      <c r="L574" s="3" t="str">
        <f>CONCATENATE("11 11.1 4b")</f>
        <v>11 11.1 4b</v>
      </c>
      <c r="M574" s="3" t="str">
        <f>CONCATENATE("MCHNNT64P53H501N")</f>
        <v>MCHNNT64P53H501N</v>
      </c>
      <c r="N574" s="3" t="s">
        <v>687</v>
      </c>
      <c r="O574" s="3"/>
      <c r="P574" s="4">
        <v>42783</v>
      </c>
      <c r="Q574" s="3" t="s">
        <v>27</v>
      </c>
      <c r="R574" s="3" t="s">
        <v>28</v>
      </c>
      <c r="S574" s="3" t="s">
        <v>29</v>
      </c>
      <c r="T574" s="5">
        <v>2673.38</v>
      </c>
      <c r="U574" s="5">
        <v>1152.76</v>
      </c>
      <c r="V574" s="5">
        <v>1064.54</v>
      </c>
      <c r="W574" s="3">
        <v>456.08</v>
      </c>
    </row>
    <row r="575" spans="1:23" ht="60.75">
      <c r="A575" s="3" t="s">
        <v>23</v>
      </c>
      <c r="B575" s="3" t="s">
        <v>24</v>
      </c>
      <c r="C575" s="3" t="s">
        <v>35</v>
      </c>
      <c r="D575" s="3" t="s">
        <v>48</v>
      </c>
      <c r="E575" s="3" t="s">
        <v>30</v>
      </c>
      <c r="F575" s="3" t="s">
        <v>91</v>
      </c>
      <c r="G575" s="3">
        <v>2016</v>
      </c>
      <c r="H575" s="3" t="str">
        <f>CONCATENATE("64210596694")</f>
        <v>64210596694</v>
      </c>
      <c r="I575" s="3" t="s">
        <v>25</v>
      </c>
      <c r="J575" s="3" t="s">
        <v>26</v>
      </c>
      <c r="K575" s="3" t="str">
        <f t="shared" si="23"/>
        <v/>
      </c>
      <c r="L575" s="3" t="str">
        <f>CONCATENATE("13 13.1 4a")</f>
        <v>13 13.1 4a</v>
      </c>
      <c r="M575" s="3" t="str">
        <f>CONCATENATE("VNNLGU41R23M078Z")</f>
        <v>VNNLGU41R23M078Z</v>
      </c>
      <c r="N575" s="3" t="s">
        <v>688</v>
      </c>
      <c r="O575" s="3"/>
      <c r="P575" s="4">
        <v>42783</v>
      </c>
      <c r="Q575" s="3" t="s">
        <v>27</v>
      </c>
      <c r="R575" s="3" t="s">
        <v>28</v>
      </c>
      <c r="S575" s="3" t="s">
        <v>29</v>
      </c>
      <c r="T575" s="5">
        <v>2837.05</v>
      </c>
      <c r="U575" s="5">
        <v>1223.3399999999999</v>
      </c>
      <c r="V575" s="5">
        <v>1129.71</v>
      </c>
      <c r="W575" s="3">
        <v>484</v>
      </c>
    </row>
    <row r="576" spans="1:23" ht="60.75">
      <c r="A576" s="3" t="s">
        <v>23</v>
      </c>
      <c r="B576" s="3" t="s">
        <v>24</v>
      </c>
      <c r="C576" s="3" t="s">
        <v>35</v>
      </c>
      <c r="D576" s="3" t="s">
        <v>48</v>
      </c>
      <c r="E576" s="3" t="s">
        <v>30</v>
      </c>
      <c r="F576" s="3" t="s">
        <v>157</v>
      </c>
      <c r="G576" s="3">
        <v>2016</v>
      </c>
      <c r="H576" s="3" t="str">
        <f>CONCATENATE("64240204459")</f>
        <v>64240204459</v>
      </c>
      <c r="I576" s="3" t="s">
        <v>25</v>
      </c>
      <c r="J576" s="3" t="s">
        <v>26</v>
      </c>
      <c r="K576" s="3" t="str">
        <f t="shared" si="23"/>
        <v/>
      </c>
      <c r="L576" s="3" t="str">
        <f t="shared" ref="L576:L582" si="25">CONCATENATE("11 11.2 4b")</f>
        <v>11 11.2 4b</v>
      </c>
      <c r="M576" s="3" t="str">
        <f>CONCATENATE("NTNMRA80P13L191Z")</f>
        <v>NTNMRA80P13L191Z</v>
      </c>
      <c r="N576" s="3" t="s">
        <v>689</v>
      </c>
      <c r="O576" s="3"/>
      <c r="P576" s="4">
        <v>42783</v>
      </c>
      <c r="Q576" s="3" t="s">
        <v>27</v>
      </c>
      <c r="R576" s="3" t="s">
        <v>28</v>
      </c>
      <c r="S576" s="3" t="s">
        <v>29</v>
      </c>
      <c r="T576" s="5">
        <v>3253.07</v>
      </c>
      <c r="U576" s="5">
        <v>1402.72</v>
      </c>
      <c r="V576" s="5">
        <v>1295.3699999999999</v>
      </c>
      <c r="W576" s="3">
        <v>554.98</v>
      </c>
    </row>
    <row r="577" spans="1:23" ht="36.75">
      <c r="A577" s="3" t="s">
        <v>23</v>
      </c>
      <c r="B577" s="3" t="s">
        <v>24</v>
      </c>
      <c r="C577" s="3" t="s">
        <v>35</v>
      </c>
      <c r="D577" s="3" t="s">
        <v>43</v>
      </c>
      <c r="E577" s="3" t="s">
        <v>49</v>
      </c>
      <c r="F577" s="3" t="s">
        <v>139</v>
      </c>
      <c r="G577" s="3">
        <v>2016</v>
      </c>
      <c r="H577" s="3" t="str">
        <f>CONCATENATE("64240916797")</f>
        <v>64240916797</v>
      </c>
      <c r="I577" s="3" t="s">
        <v>25</v>
      </c>
      <c r="J577" s="3" t="s">
        <v>26</v>
      </c>
      <c r="K577" s="3" t="str">
        <f t="shared" si="23"/>
        <v/>
      </c>
      <c r="L577" s="3" t="str">
        <f t="shared" si="25"/>
        <v>11 11.2 4b</v>
      </c>
      <c r="M577" s="3" t="str">
        <f>CONCATENATE("02361800416")</f>
        <v>02361800416</v>
      </c>
      <c r="N577" s="3" t="s">
        <v>690</v>
      </c>
      <c r="O577" s="3"/>
      <c r="P577" s="4">
        <v>42783</v>
      </c>
      <c r="Q577" s="3" t="s">
        <v>27</v>
      </c>
      <c r="R577" s="3" t="s">
        <v>28</v>
      </c>
      <c r="S577" s="3" t="s">
        <v>29</v>
      </c>
      <c r="T577" s="5">
        <v>6265.03</v>
      </c>
      <c r="U577" s="5">
        <v>2701.48</v>
      </c>
      <c r="V577" s="5">
        <v>2494.73</v>
      </c>
      <c r="W577" s="5">
        <v>1068.82</v>
      </c>
    </row>
    <row r="578" spans="1:23" ht="60.75">
      <c r="A578" s="3" t="s">
        <v>23</v>
      </c>
      <c r="B578" s="3" t="s">
        <v>24</v>
      </c>
      <c r="C578" s="3" t="s">
        <v>35</v>
      </c>
      <c r="D578" s="3" t="s">
        <v>43</v>
      </c>
      <c r="E578" s="3" t="s">
        <v>49</v>
      </c>
      <c r="F578" s="3" t="s">
        <v>276</v>
      </c>
      <c r="G578" s="3">
        <v>2016</v>
      </c>
      <c r="H578" s="3" t="str">
        <f>CONCATENATE("64240674917")</f>
        <v>64240674917</v>
      </c>
      <c r="I578" s="3" t="s">
        <v>25</v>
      </c>
      <c r="J578" s="3" t="s">
        <v>26</v>
      </c>
      <c r="K578" s="3" t="str">
        <f t="shared" si="23"/>
        <v/>
      </c>
      <c r="L578" s="3" t="str">
        <f t="shared" si="25"/>
        <v>11 11.2 4b</v>
      </c>
      <c r="M578" s="3" t="str">
        <f>CONCATENATE("SPRMSM77C30F205X")</f>
        <v>SPRMSM77C30F205X</v>
      </c>
      <c r="N578" s="3" t="s">
        <v>691</v>
      </c>
      <c r="O578" s="3"/>
      <c r="P578" s="4">
        <v>42783</v>
      </c>
      <c r="Q578" s="3" t="s">
        <v>27</v>
      </c>
      <c r="R578" s="3" t="s">
        <v>28</v>
      </c>
      <c r="S578" s="3" t="s">
        <v>29</v>
      </c>
      <c r="T578" s="5">
        <v>3688.38</v>
      </c>
      <c r="U578" s="5">
        <v>1590.43</v>
      </c>
      <c r="V578" s="5">
        <v>1468.71</v>
      </c>
      <c r="W578" s="3">
        <v>629.24</v>
      </c>
    </row>
    <row r="579" spans="1:23" ht="60.75">
      <c r="A579" s="3" t="s">
        <v>23</v>
      </c>
      <c r="B579" s="3" t="s">
        <v>24</v>
      </c>
      <c r="C579" s="3" t="s">
        <v>35</v>
      </c>
      <c r="D579" s="3" t="s">
        <v>39</v>
      </c>
      <c r="E579" s="3" t="s">
        <v>32</v>
      </c>
      <c r="F579" s="3" t="s">
        <v>69</v>
      </c>
      <c r="G579" s="3">
        <v>2016</v>
      </c>
      <c r="H579" s="3" t="str">
        <f>CONCATENATE("64240503082")</f>
        <v>64240503082</v>
      </c>
      <c r="I579" s="3" t="s">
        <v>25</v>
      </c>
      <c r="J579" s="3" t="s">
        <v>26</v>
      </c>
      <c r="K579" s="3" t="str">
        <f t="shared" si="23"/>
        <v/>
      </c>
      <c r="L579" s="3" t="str">
        <f t="shared" si="25"/>
        <v>11 11.2 4b</v>
      </c>
      <c r="M579" s="3" t="str">
        <f>CONCATENATE("SPDTTL52C09I653Y")</f>
        <v>SPDTTL52C09I653Y</v>
      </c>
      <c r="N579" s="3" t="s">
        <v>692</v>
      </c>
      <c r="O579" s="3"/>
      <c r="P579" s="4">
        <v>42783</v>
      </c>
      <c r="Q579" s="3" t="s">
        <v>27</v>
      </c>
      <c r="R579" s="3" t="s">
        <v>28</v>
      </c>
      <c r="S579" s="3" t="s">
        <v>29</v>
      </c>
      <c r="T579" s="3">
        <v>534.89</v>
      </c>
      <c r="U579" s="3">
        <v>230.64</v>
      </c>
      <c r="V579" s="3">
        <v>212.99</v>
      </c>
      <c r="W579" s="3">
        <v>91.26</v>
      </c>
    </row>
    <row r="580" spans="1:23" ht="72.75">
      <c r="A580" s="3" t="s">
        <v>23</v>
      </c>
      <c r="B580" s="3" t="s">
        <v>24</v>
      </c>
      <c r="C580" s="3" t="s">
        <v>35</v>
      </c>
      <c r="D580" s="3" t="s">
        <v>39</v>
      </c>
      <c r="E580" s="3" t="s">
        <v>32</v>
      </c>
      <c r="F580" s="3" t="s">
        <v>69</v>
      </c>
      <c r="G580" s="3">
        <v>2016</v>
      </c>
      <c r="H580" s="3" t="str">
        <f>CONCATENATE("64240501649")</f>
        <v>64240501649</v>
      </c>
      <c r="I580" s="3" t="s">
        <v>25</v>
      </c>
      <c r="J580" s="3" t="s">
        <v>26</v>
      </c>
      <c r="K580" s="3" t="str">
        <f t="shared" si="23"/>
        <v/>
      </c>
      <c r="L580" s="3" t="str">
        <f t="shared" si="25"/>
        <v>11 11.2 4b</v>
      </c>
      <c r="M580" s="3" t="str">
        <f>CONCATENATE("CCCMNL61M54H509O")</f>
        <v>CCCMNL61M54H509O</v>
      </c>
      <c r="N580" s="3" t="s">
        <v>693</v>
      </c>
      <c r="O580" s="3"/>
      <c r="P580" s="4">
        <v>42783</v>
      </c>
      <c r="Q580" s="3" t="s">
        <v>27</v>
      </c>
      <c r="R580" s="3" t="s">
        <v>28</v>
      </c>
      <c r="S580" s="3" t="s">
        <v>29</v>
      </c>
      <c r="T580" s="5">
        <v>1080.55</v>
      </c>
      <c r="U580" s="3">
        <v>465.93</v>
      </c>
      <c r="V580" s="3">
        <v>430.28</v>
      </c>
      <c r="W580" s="3">
        <v>184.34</v>
      </c>
    </row>
    <row r="581" spans="1:23" ht="60.75">
      <c r="A581" s="3" t="s">
        <v>23</v>
      </c>
      <c r="B581" s="3" t="s">
        <v>24</v>
      </c>
      <c r="C581" s="3" t="s">
        <v>35</v>
      </c>
      <c r="D581" s="3" t="s">
        <v>39</v>
      </c>
      <c r="E581" s="3" t="s">
        <v>30</v>
      </c>
      <c r="F581" s="3" t="s">
        <v>84</v>
      </c>
      <c r="G581" s="3">
        <v>2016</v>
      </c>
      <c r="H581" s="3" t="str">
        <f>CONCATENATE("64240151452")</f>
        <v>64240151452</v>
      </c>
      <c r="I581" s="3" t="s">
        <v>25</v>
      </c>
      <c r="J581" s="3" t="s">
        <v>26</v>
      </c>
      <c r="K581" s="3" t="str">
        <f t="shared" si="23"/>
        <v/>
      </c>
      <c r="L581" s="3" t="str">
        <f t="shared" si="25"/>
        <v>11 11.2 4b</v>
      </c>
      <c r="M581" s="3" t="str">
        <f>CONCATENATE("NMBMLL50E51D451Z")</f>
        <v>NMBMLL50E51D451Z</v>
      </c>
      <c r="N581" s="3" t="s">
        <v>694</v>
      </c>
      <c r="O581" s="3"/>
      <c r="P581" s="4">
        <v>42783</v>
      </c>
      <c r="Q581" s="3" t="s">
        <v>27</v>
      </c>
      <c r="R581" s="3" t="s">
        <v>28</v>
      </c>
      <c r="S581" s="3" t="s">
        <v>29</v>
      </c>
      <c r="T581" s="5">
        <v>1634.63</v>
      </c>
      <c r="U581" s="3">
        <v>704.85</v>
      </c>
      <c r="V581" s="3">
        <v>650.91</v>
      </c>
      <c r="W581" s="3">
        <v>278.87</v>
      </c>
    </row>
    <row r="582" spans="1:23" ht="36.75">
      <c r="A582" s="3" t="s">
        <v>23</v>
      </c>
      <c r="B582" s="3" t="s">
        <v>24</v>
      </c>
      <c r="C582" s="3" t="s">
        <v>35</v>
      </c>
      <c r="D582" s="3" t="s">
        <v>43</v>
      </c>
      <c r="E582" s="3" t="s">
        <v>49</v>
      </c>
      <c r="F582" s="3" t="s">
        <v>139</v>
      </c>
      <c r="G582" s="3">
        <v>2016</v>
      </c>
      <c r="H582" s="3" t="str">
        <f>CONCATENATE("64240354791")</f>
        <v>64240354791</v>
      </c>
      <c r="I582" s="3" t="s">
        <v>25</v>
      </c>
      <c r="J582" s="3" t="s">
        <v>26</v>
      </c>
      <c r="K582" s="3" t="str">
        <f t="shared" si="23"/>
        <v/>
      </c>
      <c r="L582" s="3" t="str">
        <f t="shared" si="25"/>
        <v>11 11.2 4b</v>
      </c>
      <c r="M582" s="3" t="str">
        <f>CONCATENATE("02557860414")</f>
        <v>02557860414</v>
      </c>
      <c r="N582" s="3" t="s">
        <v>695</v>
      </c>
      <c r="O582" s="3"/>
      <c r="P582" s="4">
        <v>42783</v>
      </c>
      <c r="Q582" s="3" t="s">
        <v>27</v>
      </c>
      <c r="R582" s="3" t="s">
        <v>28</v>
      </c>
      <c r="S582" s="3" t="s">
        <v>29</v>
      </c>
      <c r="T582" s="5">
        <v>3200.91</v>
      </c>
      <c r="U582" s="5">
        <v>1380.23</v>
      </c>
      <c r="V582" s="5">
        <v>1274.5999999999999</v>
      </c>
      <c r="W582" s="3">
        <v>546.08000000000004</v>
      </c>
    </row>
    <row r="583" spans="1:23" ht="36.75">
      <c r="A583" s="3" t="s">
        <v>23</v>
      </c>
      <c r="B583" s="3" t="s">
        <v>24</v>
      </c>
      <c r="C583" s="3" t="s">
        <v>35</v>
      </c>
      <c r="D583" s="3" t="s">
        <v>43</v>
      </c>
      <c r="E583" s="3" t="s">
        <v>30</v>
      </c>
      <c r="F583" s="3" t="s">
        <v>76</v>
      </c>
      <c r="G583" s="3">
        <v>2016</v>
      </c>
      <c r="H583" s="3" t="str">
        <f>CONCATENATE("64240350963")</f>
        <v>64240350963</v>
      </c>
      <c r="I583" s="3" t="s">
        <v>31</v>
      </c>
      <c r="J583" s="3" t="s">
        <v>26</v>
      </c>
      <c r="K583" s="3" t="str">
        <f t="shared" si="23"/>
        <v/>
      </c>
      <c r="L583" s="3" t="str">
        <f>CONCATENATE("11 11.1 4b")</f>
        <v>11 11.1 4b</v>
      </c>
      <c r="M583" s="3" t="str">
        <f>CONCATENATE("00699090411")</f>
        <v>00699090411</v>
      </c>
      <c r="N583" s="3" t="s">
        <v>696</v>
      </c>
      <c r="O583" s="3"/>
      <c r="P583" s="4">
        <v>42783</v>
      </c>
      <c r="Q583" s="3" t="s">
        <v>27</v>
      </c>
      <c r="R583" s="3" t="s">
        <v>28</v>
      </c>
      <c r="S583" s="3" t="s">
        <v>29</v>
      </c>
      <c r="T583" s="5">
        <v>3130.14</v>
      </c>
      <c r="U583" s="5">
        <v>1349.72</v>
      </c>
      <c r="V583" s="5">
        <v>1246.42</v>
      </c>
      <c r="W583" s="3">
        <v>534</v>
      </c>
    </row>
    <row r="584" spans="1:23" ht="60.75">
      <c r="A584" s="3" t="s">
        <v>23</v>
      </c>
      <c r="B584" s="3" t="s">
        <v>24</v>
      </c>
      <c r="C584" s="3" t="s">
        <v>35</v>
      </c>
      <c r="D584" s="3" t="s">
        <v>43</v>
      </c>
      <c r="E584" s="3" t="s">
        <v>49</v>
      </c>
      <c r="F584" s="3" t="s">
        <v>276</v>
      </c>
      <c r="G584" s="3">
        <v>2016</v>
      </c>
      <c r="H584" s="3" t="str">
        <f>CONCATENATE("64240356010")</f>
        <v>64240356010</v>
      </c>
      <c r="I584" s="3" t="s">
        <v>25</v>
      </c>
      <c r="J584" s="3" t="s">
        <v>26</v>
      </c>
      <c r="K584" s="3" t="str">
        <f t="shared" si="23"/>
        <v/>
      </c>
      <c r="L584" s="3" t="str">
        <f>CONCATENATE("11 11.1 4b")</f>
        <v>11 11.1 4b</v>
      </c>
      <c r="M584" s="3" t="str">
        <f>CONCATENATE("SCLLRN76T50L500O")</f>
        <v>SCLLRN76T50L500O</v>
      </c>
      <c r="N584" s="3" t="s">
        <v>697</v>
      </c>
      <c r="O584" s="3"/>
      <c r="P584" s="4">
        <v>42783</v>
      </c>
      <c r="Q584" s="3" t="s">
        <v>27</v>
      </c>
      <c r="R584" s="3" t="s">
        <v>28</v>
      </c>
      <c r="S584" s="3" t="s">
        <v>29</v>
      </c>
      <c r="T584" s="5">
        <v>7022.69</v>
      </c>
      <c r="U584" s="5">
        <v>3028.18</v>
      </c>
      <c r="V584" s="5">
        <v>2796.44</v>
      </c>
      <c r="W584" s="5">
        <v>1198.07</v>
      </c>
    </row>
    <row r="585" spans="1:23" ht="36.75">
      <c r="A585" s="3" t="s">
        <v>23</v>
      </c>
      <c r="B585" s="3" t="s">
        <v>24</v>
      </c>
      <c r="C585" s="3" t="s">
        <v>35</v>
      </c>
      <c r="D585" s="3" t="s">
        <v>48</v>
      </c>
      <c r="E585" s="3" t="s">
        <v>49</v>
      </c>
      <c r="F585" s="3" t="s">
        <v>276</v>
      </c>
      <c r="G585" s="3">
        <v>2016</v>
      </c>
      <c r="H585" s="3" t="str">
        <f>CONCATENATE("64240805040")</f>
        <v>64240805040</v>
      </c>
      <c r="I585" s="3" t="s">
        <v>25</v>
      </c>
      <c r="J585" s="3" t="s">
        <v>26</v>
      </c>
      <c r="K585" s="3" t="str">
        <f t="shared" si="23"/>
        <v/>
      </c>
      <c r="L585" s="3" t="str">
        <f>CONCATENATE("11 11.1 4b")</f>
        <v>11 11.1 4b</v>
      </c>
      <c r="M585" s="3" t="str">
        <f>CONCATENATE("01882060435")</f>
        <v>01882060435</v>
      </c>
      <c r="N585" s="3" t="s">
        <v>698</v>
      </c>
      <c r="O585" s="3"/>
      <c r="P585" s="4">
        <v>42783</v>
      </c>
      <c r="Q585" s="3" t="s">
        <v>27</v>
      </c>
      <c r="R585" s="3" t="s">
        <v>28</v>
      </c>
      <c r="S585" s="3" t="s">
        <v>29</v>
      </c>
      <c r="T585" s="3">
        <v>128.13</v>
      </c>
      <c r="U585" s="3">
        <v>55.25</v>
      </c>
      <c r="V585" s="3">
        <v>51.02</v>
      </c>
      <c r="W585" s="3">
        <v>21.86</v>
      </c>
    </row>
    <row r="586" spans="1:23" ht="60.75">
      <c r="A586" s="3" t="s">
        <v>23</v>
      </c>
      <c r="B586" s="3" t="s">
        <v>24</v>
      </c>
      <c r="C586" s="3" t="s">
        <v>35</v>
      </c>
      <c r="D586" s="3" t="s">
        <v>43</v>
      </c>
      <c r="E586" s="3" t="s">
        <v>30</v>
      </c>
      <c r="F586" s="3" t="s">
        <v>124</v>
      </c>
      <c r="G586" s="3">
        <v>2016</v>
      </c>
      <c r="H586" s="3" t="str">
        <f>CONCATENATE("64240737318")</f>
        <v>64240737318</v>
      </c>
      <c r="I586" s="3" t="s">
        <v>25</v>
      </c>
      <c r="J586" s="3" t="s">
        <v>26</v>
      </c>
      <c r="K586" s="3" t="str">
        <f t="shared" si="23"/>
        <v/>
      </c>
      <c r="L586" s="3" t="str">
        <f>CONCATENATE("11 11.1 4b")</f>
        <v>11 11.1 4b</v>
      </c>
      <c r="M586" s="3" t="str">
        <f>CONCATENATE("FRLGNS83L43D488Y")</f>
        <v>FRLGNS83L43D488Y</v>
      </c>
      <c r="N586" s="3" t="s">
        <v>699</v>
      </c>
      <c r="O586" s="3"/>
      <c r="P586" s="4">
        <v>42783</v>
      </c>
      <c r="Q586" s="3" t="s">
        <v>27</v>
      </c>
      <c r="R586" s="3" t="s">
        <v>28</v>
      </c>
      <c r="S586" s="3" t="s">
        <v>29</v>
      </c>
      <c r="T586" s="5">
        <v>2257.73</v>
      </c>
      <c r="U586" s="3">
        <v>973.53</v>
      </c>
      <c r="V586" s="3">
        <v>899.03</v>
      </c>
      <c r="W586" s="3">
        <v>385.17</v>
      </c>
    </row>
    <row r="587" spans="1:23" ht="36.75">
      <c r="A587" s="3" t="s">
        <v>23</v>
      </c>
      <c r="B587" s="3" t="s">
        <v>24</v>
      </c>
      <c r="C587" s="3" t="s">
        <v>35</v>
      </c>
      <c r="D587" s="3" t="s">
        <v>48</v>
      </c>
      <c r="E587" s="3" t="s">
        <v>49</v>
      </c>
      <c r="F587" s="3" t="s">
        <v>50</v>
      </c>
      <c r="G587" s="3">
        <v>2016</v>
      </c>
      <c r="H587" s="3" t="str">
        <f>CONCATENATE("64240910865")</f>
        <v>64240910865</v>
      </c>
      <c r="I587" s="3" t="s">
        <v>25</v>
      </c>
      <c r="J587" s="3" t="s">
        <v>26</v>
      </c>
      <c r="K587" s="3" t="str">
        <f t="shared" si="23"/>
        <v/>
      </c>
      <c r="L587" s="3" t="str">
        <f>CONCATENATE("11 11.1 4b")</f>
        <v>11 11.1 4b</v>
      </c>
      <c r="M587" s="3" t="str">
        <f>CONCATENATE("01751240431")</f>
        <v>01751240431</v>
      </c>
      <c r="N587" s="3" t="s">
        <v>700</v>
      </c>
      <c r="O587" s="3"/>
      <c r="P587" s="4">
        <v>42783</v>
      </c>
      <c r="Q587" s="3" t="s">
        <v>27</v>
      </c>
      <c r="R587" s="3" t="s">
        <v>28</v>
      </c>
      <c r="S587" s="3" t="s">
        <v>29</v>
      </c>
      <c r="T587" s="5">
        <v>35754.83</v>
      </c>
      <c r="U587" s="5">
        <v>15417.48</v>
      </c>
      <c r="V587" s="5">
        <v>14237.57</v>
      </c>
      <c r="W587" s="5">
        <v>6099.78</v>
      </c>
    </row>
    <row r="588" spans="1:23" ht="60.75">
      <c r="A588" s="3" t="s">
        <v>23</v>
      </c>
      <c r="B588" s="3" t="s">
        <v>24</v>
      </c>
      <c r="C588" s="3" t="s">
        <v>35</v>
      </c>
      <c r="D588" s="3" t="s">
        <v>43</v>
      </c>
      <c r="E588" s="3" t="s">
        <v>30</v>
      </c>
      <c r="F588" s="3" t="s">
        <v>104</v>
      </c>
      <c r="G588" s="3">
        <v>2016</v>
      </c>
      <c r="H588" s="3" t="str">
        <f>CONCATENATE("64240922845")</f>
        <v>64240922845</v>
      </c>
      <c r="I588" s="3" t="s">
        <v>25</v>
      </c>
      <c r="J588" s="3" t="s">
        <v>26</v>
      </c>
      <c r="K588" s="3" t="str">
        <f t="shared" si="23"/>
        <v/>
      </c>
      <c r="L588" s="3" t="str">
        <f t="shared" ref="L588:L594" si="26">CONCATENATE("11 11.2 4b")</f>
        <v>11 11.2 4b</v>
      </c>
      <c r="M588" s="3" t="str">
        <f>CONCATENATE("SNTNTN58R05L500Q")</f>
        <v>SNTNTN58R05L500Q</v>
      </c>
      <c r="N588" s="3" t="s">
        <v>701</v>
      </c>
      <c r="O588" s="3"/>
      <c r="P588" s="4">
        <v>42783</v>
      </c>
      <c r="Q588" s="3" t="s">
        <v>27</v>
      </c>
      <c r="R588" s="3" t="s">
        <v>28</v>
      </c>
      <c r="S588" s="3" t="s">
        <v>29</v>
      </c>
      <c r="T588" s="5">
        <v>13825.15</v>
      </c>
      <c r="U588" s="5">
        <v>5961.4</v>
      </c>
      <c r="V588" s="5">
        <v>5505.17</v>
      </c>
      <c r="W588" s="5">
        <v>2358.58</v>
      </c>
    </row>
    <row r="589" spans="1:23" ht="60.75">
      <c r="A589" s="3" t="s">
        <v>23</v>
      </c>
      <c r="B589" s="3" t="s">
        <v>24</v>
      </c>
      <c r="C589" s="3" t="s">
        <v>35</v>
      </c>
      <c r="D589" s="3" t="s">
        <v>43</v>
      </c>
      <c r="E589" s="3" t="s">
        <v>32</v>
      </c>
      <c r="F589" s="3" t="s">
        <v>335</v>
      </c>
      <c r="G589" s="3">
        <v>2016</v>
      </c>
      <c r="H589" s="3" t="str">
        <f>CONCATENATE("64240610051")</f>
        <v>64240610051</v>
      </c>
      <c r="I589" s="3" t="s">
        <v>25</v>
      </c>
      <c r="J589" s="3" t="s">
        <v>26</v>
      </c>
      <c r="K589" s="3" t="str">
        <f t="shared" si="23"/>
        <v/>
      </c>
      <c r="L589" s="3" t="str">
        <f t="shared" si="26"/>
        <v>11 11.2 4b</v>
      </c>
      <c r="M589" s="3" t="str">
        <f>CONCATENATE("NNNPLA58C22I459S")</f>
        <v>NNNPLA58C22I459S</v>
      </c>
      <c r="N589" s="3" t="s">
        <v>702</v>
      </c>
      <c r="O589" s="3"/>
      <c r="P589" s="4">
        <v>42783</v>
      </c>
      <c r="Q589" s="3" t="s">
        <v>27</v>
      </c>
      <c r="R589" s="3" t="s">
        <v>28</v>
      </c>
      <c r="S589" s="3" t="s">
        <v>29</v>
      </c>
      <c r="T589" s="5">
        <v>2541.89</v>
      </c>
      <c r="U589" s="5">
        <v>1096.06</v>
      </c>
      <c r="V589" s="5">
        <v>1012.18</v>
      </c>
      <c r="W589" s="3">
        <v>433.65</v>
      </c>
    </row>
    <row r="590" spans="1:23" ht="60.75">
      <c r="A590" s="3" t="s">
        <v>23</v>
      </c>
      <c r="B590" s="3" t="s">
        <v>24</v>
      </c>
      <c r="C590" s="3" t="s">
        <v>35</v>
      </c>
      <c r="D590" s="3" t="s">
        <v>48</v>
      </c>
      <c r="E590" s="3" t="s">
        <v>34</v>
      </c>
      <c r="F590" s="3" t="s">
        <v>141</v>
      </c>
      <c r="G590" s="3">
        <v>2016</v>
      </c>
      <c r="H590" s="3" t="str">
        <f>CONCATENATE("64240739058")</f>
        <v>64240739058</v>
      </c>
      <c r="I590" s="3" t="s">
        <v>25</v>
      </c>
      <c r="J590" s="3" t="s">
        <v>26</v>
      </c>
      <c r="K590" s="3" t="str">
        <f t="shared" si="23"/>
        <v/>
      </c>
      <c r="L590" s="3" t="str">
        <f t="shared" si="26"/>
        <v>11 11.2 4b</v>
      </c>
      <c r="M590" s="3" t="str">
        <f>CONCATENATE("VSSSFN73E01E783T")</f>
        <v>VSSSFN73E01E783T</v>
      </c>
      <c r="N590" s="3" t="s">
        <v>703</v>
      </c>
      <c r="O590" s="3"/>
      <c r="P590" s="4">
        <v>42783</v>
      </c>
      <c r="Q590" s="3" t="s">
        <v>27</v>
      </c>
      <c r="R590" s="3" t="s">
        <v>28</v>
      </c>
      <c r="S590" s="3" t="s">
        <v>29</v>
      </c>
      <c r="T590" s="5">
        <v>7150.06</v>
      </c>
      <c r="U590" s="5">
        <v>3083.11</v>
      </c>
      <c r="V590" s="5">
        <v>2847.15</v>
      </c>
      <c r="W590" s="5">
        <v>1219.8</v>
      </c>
    </row>
    <row r="591" spans="1:23" ht="60.75">
      <c r="A591" s="3" t="s">
        <v>23</v>
      </c>
      <c r="B591" s="3" t="s">
        <v>24</v>
      </c>
      <c r="C591" s="3" t="s">
        <v>35</v>
      </c>
      <c r="D591" s="3" t="s">
        <v>36</v>
      </c>
      <c r="E591" s="3" t="s">
        <v>30</v>
      </c>
      <c r="F591" s="3" t="s">
        <v>37</v>
      </c>
      <c r="G591" s="3">
        <v>2016</v>
      </c>
      <c r="H591" s="3" t="str">
        <f>CONCATENATE("64240272662")</f>
        <v>64240272662</v>
      </c>
      <c r="I591" s="3" t="s">
        <v>25</v>
      </c>
      <c r="J591" s="3" t="s">
        <v>26</v>
      </c>
      <c r="K591" s="3" t="str">
        <f t="shared" si="23"/>
        <v/>
      </c>
      <c r="L591" s="3" t="str">
        <f t="shared" si="26"/>
        <v>11 11.2 4b</v>
      </c>
      <c r="M591" s="3" t="str">
        <f>CONCATENATE("MSLSST56D16L992V")</f>
        <v>MSLSST56D16L992V</v>
      </c>
      <c r="N591" s="3" t="s">
        <v>704</v>
      </c>
      <c r="O591" s="3"/>
      <c r="P591" s="4">
        <v>42783</v>
      </c>
      <c r="Q591" s="3" t="s">
        <v>27</v>
      </c>
      <c r="R591" s="3" t="s">
        <v>28</v>
      </c>
      <c r="S591" s="3" t="s">
        <v>29</v>
      </c>
      <c r="T591" s="5">
        <v>3364.83</v>
      </c>
      <c r="U591" s="5">
        <v>1450.91</v>
      </c>
      <c r="V591" s="5">
        <v>1339.88</v>
      </c>
      <c r="W591" s="3">
        <v>574.04</v>
      </c>
    </row>
    <row r="592" spans="1:23" ht="60.75">
      <c r="A592" s="3" t="s">
        <v>23</v>
      </c>
      <c r="B592" s="3" t="s">
        <v>24</v>
      </c>
      <c r="C592" s="3" t="s">
        <v>35</v>
      </c>
      <c r="D592" s="3" t="s">
        <v>36</v>
      </c>
      <c r="E592" s="3" t="s">
        <v>42</v>
      </c>
      <c r="F592" s="3" t="s">
        <v>42</v>
      </c>
      <c r="G592" s="3">
        <v>2016</v>
      </c>
      <c r="H592" s="3" t="str">
        <f>CONCATENATE("64240075172")</f>
        <v>64240075172</v>
      </c>
      <c r="I592" s="3" t="s">
        <v>25</v>
      </c>
      <c r="J592" s="3" t="s">
        <v>26</v>
      </c>
      <c r="K592" s="3" t="str">
        <f t="shared" si="23"/>
        <v/>
      </c>
      <c r="L592" s="3" t="str">
        <f t="shared" si="26"/>
        <v>11 11.2 4b</v>
      </c>
      <c r="M592" s="3" t="str">
        <f>CONCATENATE("TRNFNC58S03G005I")</f>
        <v>TRNFNC58S03G005I</v>
      </c>
      <c r="N592" s="3" t="s">
        <v>705</v>
      </c>
      <c r="O592" s="3"/>
      <c r="P592" s="4">
        <v>42783</v>
      </c>
      <c r="Q592" s="3" t="s">
        <v>27</v>
      </c>
      <c r="R592" s="3" t="s">
        <v>28</v>
      </c>
      <c r="S592" s="3" t="s">
        <v>29</v>
      </c>
      <c r="T592" s="5">
        <v>2065.73</v>
      </c>
      <c r="U592" s="3">
        <v>890.74</v>
      </c>
      <c r="V592" s="3">
        <v>822.57</v>
      </c>
      <c r="W592" s="3">
        <v>352.42</v>
      </c>
    </row>
    <row r="593" spans="1:23" ht="60.75">
      <c r="A593" s="3" t="s">
        <v>23</v>
      </c>
      <c r="B593" s="3" t="s">
        <v>24</v>
      </c>
      <c r="C593" s="3" t="s">
        <v>35</v>
      </c>
      <c r="D593" s="3" t="s">
        <v>36</v>
      </c>
      <c r="E593" s="3" t="s">
        <v>30</v>
      </c>
      <c r="F593" s="3" t="s">
        <v>37</v>
      </c>
      <c r="G593" s="3">
        <v>2016</v>
      </c>
      <c r="H593" s="3" t="str">
        <f>CONCATENATE("64240273025")</f>
        <v>64240273025</v>
      </c>
      <c r="I593" s="3" t="s">
        <v>25</v>
      </c>
      <c r="J593" s="3" t="s">
        <v>26</v>
      </c>
      <c r="K593" s="3" t="str">
        <f t="shared" si="23"/>
        <v/>
      </c>
      <c r="L593" s="3" t="str">
        <f t="shared" si="26"/>
        <v>11 11.2 4b</v>
      </c>
      <c r="M593" s="3" t="str">
        <f>CONCATENATE("VLLNTN63S09I774B")</f>
        <v>VLLNTN63S09I774B</v>
      </c>
      <c r="N593" s="3" t="s">
        <v>706</v>
      </c>
      <c r="O593" s="3"/>
      <c r="P593" s="4">
        <v>42783</v>
      </c>
      <c r="Q593" s="3" t="s">
        <v>27</v>
      </c>
      <c r="R593" s="3" t="s">
        <v>28</v>
      </c>
      <c r="S593" s="3" t="s">
        <v>29</v>
      </c>
      <c r="T593" s="5">
        <v>1880.96</v>
      </c>
      <c r="U593" s="3">
        <v>811.07</v>
      </c>
      <c r="V593" s="3">
        <v>749</v>
      </c>
      <c r="W593" s="3">
        <v>320.89</v>
      </c>
    </row>
    <row r="594" spans="1:23" ht="60.75">
      <c r="A594" s="3" t="s">
        <v>23</v>
      </c>
      <c r="B594" s="3" t="s">
        <v>24</v>
      </c>
      <c r="C594" s="3" t="s">
        <v>35</v>
      </c>
      <c r="D594" s="3" t="s">
        <v>43</v>
      </c>
      <c r="E594" s="3" t="s">
        <v>49</v>
      </c>
      <c r="F594" s="3" t="s">
        <v>139</v>
      </c>
      <c r="G594" s="3">
        <v>2016</v>
      </c>
      <c r="H594" s="3" t="str">
        <f>CONCATENATE("64240340139")</f>
        <v>64240340139</v>
      </c>
      <c r="I594" s="3" t="s">
        <v>25</v>
      </c>
      <c r="J594" s="3" t="s">
        <v>26</v>
      </c>
      <c r="K594" s="3" t="str">
        <f t="shared" si="23"/>
        <v/>
      </c>
      <c r="L594" s="3" t="str">
        <f t="shared" si="26"/>
        <v>11 11.2 4b</v>
      </c>
      <c r="M594" s="3" t="str">
        <f>CONCATENATE("GNSMCL72M10L500C")</f>
        <v>GNSMCL72M10L500C</v>
      </c>
      <c r="N594" s="3" t="s">
        <v>707</v>
      </c>
      <c r="O594" s="3"/>
      <c r="P594" s="4">
        <v>42783</v>
      </c>
      <c r="Q594" s="3" t="s">
        <v>27</v>
      </c>
      <c r="R594" s="3" t="s">
        <v>28</v>
      </c>
      <c r="S594" s="3" t="s">
        <v>29</v>
      </c>
      <c r="T594" s="5">
        <v>1082.19</v>
      </c>
      <c r="U594" s="3">
        <v>466.64</v>
      </c>
      <c r="V594" s="3">
        <v>430.93</v>
      </c>
      <c r="W594" s="3">
        <v>184.62</v>
      </c>
    </row>
    <row r="595" spans="1:23" ht="60.75">
      <c r="A595" s="3" t="s">
        <v>23</v>
      </c>
      <c r="B595" s="3" t="s">
        <v>24</v>
      </c>
      <c r="C595" s="3" t="s">
        <v>35</v>
      </c>
      <c r="D595" s="3" t="s">
        <v>39</v>
      </c>
      <c r="E595" s="3" t="s">
        <v>30</v>
      </c>
      <c r="F595" s="3" t="s">
        <v>84</v>
      </c>
      <c r="G595" s="3">
        <v>2016</v>
      </c>
      <c r="H595" s="3" t="str">
        <f>CONCATENATE("64240548103")</f>
        <v>64240548103</v>
      </c>
      <c r="I595" s="3" t="s">
        <v>25</v>
      </c>
      <c r="J595" s="3" t="s">
        <v>26</v>
      </c>
      <c r="K595" s="3" t="str">
        <f t="shared" si="23"/>
        <v/>
      </c>
      <c r="L595" s="3" t="str">
        <f>CONCATENATE("11 11.1 4b")</f>
        <v>11 11.1 4b</v>
      </c>
      <c r="M595" s="3" t="str">
        <f>CONCATENATE("BRTLSS82D21D451P")</f>
        <v>BRTLSS82D21D451P</v>
      </c>
      <c r="N595" s="3" t="s">
        <v>708</v>
      </c>
      <c r="O595" s="3"/>
      <c r="P595" s="4">
        <v>42783</v>
      </c>
      <c r="Q595" s="3" t="s">
        <v>27</v>
      </c>
      <c r="R595" s="3" t="s">
        <v>28</v>
      </c>
      <c r="S595" s="3" t="s">
        <v>29</v>
      </c>
      <c r="T595" s="5">
        <v>3136.54</v>
      </c>
      <c r="U595" s="5">
        <v>1352.48</v>
      </c>
      <c r="V595" s="5">
        <v>1248.97</v>
      </c>
      <c r="W595" s="3">
        <v>535.09</v>
      </c>
    </row>
    <row r="596" spans="1:23" ht="60.75">
      <c r="A596" s="3" t="s">
        <v>23</v>
      </c>
      <c r="B596" s="3" t="s">
        <v>24</v>
      </c>
      <c r="C596" s="3" t="s">
        <v>35</v>
      </c>
      <c r="D596" s="3" t="s">
        <v>43</v>
      </c>
      <c r="E596" s="3" t="s">
        <v>100</v>
      </c>
      <c r="F596" s="3" t="s">
        <v>101</v>
      </c>
      <c r="G596" s="3">
        <v>2016</v>
      </c>
      <c r="H596" s="3" t="str">
        <f>CONCATENATE("64240632477")</f>
        <v>64240632477</v>
      </c>
      <c r="I596" s="3" t="s">
        <v>25</v>
      </c>
      <c r="J596" s="3" t="s">
        <v>26</v>
      </c>
      <c r="K596" s="3" t="str">
        <f t="shared" si="23"/>
        <v/>
      </c>
      <c r="L596" s="3" t="str">
        <f>CONCATENATE("11 11.1 4b")</f>
        <v>11 11.1 4b</v>
      </c>
      <c r="M596" s="3" t="str">
        <f>CONCATENATE("TBRMRA56M60E743P")</f>
        <v>TBRMRA56M60E743P</v>
      </c>
      <c r="N596" s="3" t="s">
        <v>709</v>
      </c>
      <c r="O596" s="3"/>
      <c r="P596" s="4">
        <v>42783</v>
      </c>
      <c r="Q596" s="3" t="s">
        <v>27</v>
      </c>
      <c r="R596" s="3" t="s">
        <v>28</v>
      </c>
      <c r="S596" s="3" t="s">
        <v>29</v>
      </c>
      <c r="T596" s="5">
        <v>5549.99</v>
      </c>
      <c r="U596" s="5">
        <v>2393.16</v>
      </c>
      <c r="V596" s="5">
        <v>2210.0100000000002</v>
      </c>
      <c r="W596" s="3">
        <v>946.82</v>
      </c>
    </row>
    <row r="597" spans="1:23" ht="60.75">
      <c r="A597" s="3" t="s">
        <v>23</v>
      </c>
      <c r="B597" s="3" t="s">
        <v>24</v>
      </c>
      <c r="C597" s="3" t="s">
        <v>35</v>
      </c>
      <c r="D597" s="3" t="s">
        <v>43</v>
      </c>
      <c r="E597" s="3" t="s">
        <v>32</v>
      </c>
      <c r="F597" s="3" t="s">
        <v>78</v>
      </c>
      <c r="G597" s="3">
        <v>2016</v>
      </c>
      <c r="H597" s="3" t="str">
        <f>CONCATENATE("64240563375")</f>
        <v>64240563375</v>
      </c>
      <c r="I597" s="3" t="s">
        <v>25</v>
      </c>
      <c r="J597" s="3" t="s">
        <v>26</v>
      </c>
      <c r="K597" s="3" t="str">
        <f t="shared" si="23"/>
        <v/>
      </c>
      <c r="L597" s="3" t="str">
        <f t="shared" ref="L597:L607" si="27">CONCATENATE("11 11.2 4b")</f>
        <v>11 11.2 4b</v>
      </c>
      <c r="M597" s="3" t="str">
        <f>CONCATENATE("LBNNRC68B11L219G")</f>
        <v>LBNNRC68B11L219G</v>
      </c>
      <c r="N597" s="3" t="s">
        <v>710</v>
      </c>
      <c r="O597" s="3"/>
      <c r="P597" s="4">
        <v>42783</v>
      </c>
      <c r="Q597" s="3" t="s">
        <v>27</v>
      </c>
      <c r="R597" s="3" t="s">
        <v>28</v>
      </c>
      <c r="S597" s="3" t="s">
        <v>29</v>
      </c>
      <c r="T597" s="5">
        <v>1382.65</v>
      </c>
      <c r="U597" s="3">
        <v>596.20000000000005</v>
      </c>
      <c r="V597" s="3">
        <v>550.57000000000005</v>
      </c>
      <c r="W597" s="3">
        <v>235.88</v>
      </c>
    </row>
    <row r="598" spans="1:23" ht="36.75">
      <c r="A598" s="3" t="s">
        <v>23</v>
      </c>
      <c r="B598" s="3" t="s">
        <v>24</v>
      </c>
      <c r="C598" s="3" t="s">
        <v>35</v>
      </c>
      <c r="D598" s="3" t="s">
        <v>36</v>
      </c>
      <c r="E598" s="3" t="s">
        <v>34</v>
      </c>
      <c r="F598" s="3" t="s">
        <v>273</v>
      </c>
      <c r="G598" s="3">
        <v>2016</v>
      </c>
      <c r="H598" s="3" t="str">
        <f>CONCATENATE("64240647632")</f>
        <v>64240647632</v>
      </c>
      <c r="I598" s="3" t="s">
        <v>25</v>
      </c>
      <c r="J598" s="3" t="s">
        <v>26</v>
      </c>
      <c r="K598" s="3" t="str">
        <f t="shared" si="23"/>
        <v/>
      </c>
      <c r="L598" s="3" t="str">
        <f t="shared" si="27"/>
        <v>11 11.2 4b</v>
      </c>
      <c r="M598" s="3" t="str">
        <f>CONCATENATE("01861420444")</f>
        <v>01861420444</v>
      </c>
      <c r="N598" s="3" t="s">
        <v>711</v>
      </c>
      <c r="O598" s="3"/>
      <c r="P598" s="4">
        <v>42783</v>
      </c>
      <c r="Q598" s="3" t="s">
        <v>27</v>
      </c>
      <c r="R598" s="3" t="s">
        <v>28</v>
      </c>
      <c r="S598" s="3" t="s">
        <v>29</v>
      </c>
      <c r="T598" s="5">
        <v>7488.45</v>
      </c>
      <c r="U598" s="5">
        <v>3229.02</v>
      </c>
      <c r="V598" s="5">
        <v>2981.9</v>
      </c>
      <c r="W598" s="5">
        <v>1277.53</v>
      </c>
    </row>
    <row r="599" spans="1:23" ht="60.75">
      <c r="A599" s="3" t="s">
        <v>23</v>
      </c>
      <c r="B599" s="3" t="s">
        <v>24</v>
      </c>
      <c r="C599" s="3" t="s">
        <v>35</v>
      </c>
      <c r="D599" s="3" t="s">
        <v>48</v>
      </c>
      <c r="E599" s="3" t="s">
        <v>49</v>
      </c>
      <c r="F599" s="3" t="s">
        <v>50</v>
      </c>
      <c r="G599" s="3">
        <v>2016</v>
      </c>
      <c r="H599" s="3" t="str">
        <f>CONCATENATE("64240632063")</f>
        <v>64240632063</v>
      </c>
      <c r="I599" s="3" t="s">
        <v>25</v>
      </c>
      <c r="J599" s="3" t="s">
        <v>26</v>
      </c>
      <c r="K599" s="3" t="str">
        <f t="shared" si="23"/>
        <v/>
      </c>
      <c r="L599" s="3" t="str">
        <f t="shared" si="27"/>
        <v>11 11.2 4b</v>
      </c>
      <c r="M599" s="3" t="str">
        <f>CONCATENATE("MGLMCL73L22E783T")</f>
        <v>MGLMCL73L22E783T</v>
      </c>
      <c r="N599" s="3" t="s">
        <v>712</v>
      </c>
      <c r="O599" s="3"/>
      <c r="P599" s="4">
        <v>42783</v>
      </c>
      <c r="Q599" s="3" t="s">
        <v>27</v>
      </c>
      <c r="R599" s="3" t="s">
        <v>28</v>
      </c>
      <c r="S599" s="3" t="s">
        <v>29</v>
      </c>
      <c r="T599" s="5">
        <v>5445.75</v>
      </c>
      <c r="U599" s="5">
        <v>2348.21</v>
      </c>
      <c r="V599" s="5">
        <v>2168.5</v>
      </c>
      <c r="W599" s="3">
        <v>929.04</v>
      </c>
    </row>
    <row r="600" spans="1:23" ht="60.75">
      <c r="A600" s="3" t="s">
        <v>23</v>
      </c>
      <c r="B600" s="3" t="s">
        <v>24</v>
      </c>
      <c r="C600" s="3" t="s">
        <v>35</v>
      </c>
      <c r="D600" s="3" t="s">
        <v>43</v>
      </c>
      <c r="E600" s="3" t="s">
        <v>30</v>
      </c>
      <c r="F600" s="3" t="s">
        <v>124</v>
      </c>
      <c r="G600" s="3">
        <v>2016</v>
      </c>
      <c r="H600" s="3" t="str">
        <f>CONCATENATE("64240310884")</f>
        <v>64240310884</v>
      </c>
      <c r="I600" s="3" t="s">
        <v>25</v>
      </c>
      <c r="J600" s="3" t="s">
        <v>26</v>
      </c>
      <c r="K600" s="3" t="str">
        <f t="shared" si="23"/>
        <v/>
      </c>
      <c r="L600" s="3" t="str">
        <f t="shared" si="27"/>
        <v>11 11.2 4b</v>
      </c>
      <c r="M600" s="3" t="str">
        <f>CONCATENATE("CPRGNN24S26L231U")</f>
        <v>CPRGNN24S26L231U</v>
      </c>
      <c r="N600" s="3" t="s">
        <v>713</v>
      </c>
      <c r="O600" s="3"/>
      <c r="P600" s="4">
        <v>42783</v>
      </c>
      <c r="Q600" s="3" t="s">
        <v>27</v>
      </c>
      <c r="R600" s="3" t="s">
        <v>28</v>
      </c>
      <c r="S600" s="3" t="s">
        <v>29</v>
      </c>
      <c r="T600" s="3">
        <v>518.45000000000005</v>
      </c>
      <c r="U600" s="3">
        <v>223.56</v>
      </c>
      <c r="V600" s="3">
        <v>206.45</v>
      </c>
      <c r="W600" s="3">
        <v>88.44</v>
      </c>
    </row>
    <row r="601" spans="1:23" ht="60.75">
      <c r="A601" s="3" t="s">
        <v>23</v>
      </c>
      <c r="B601" s="3" t="s">
        <v>24</v>
      </c>
      <c r="C601" s="3" t="s">
        <v>35</v>
      </c>
      <c r="D601" s="3" t="s">
        <v>48</v>
      </c>
      <c r="E601" s="3" t="s">
        <v>49</v>
      </c>
      <c r="F601" s="3" t="s">
        <v>50</v>
      </c>
      <c r="G601" s="3">
        <v>2016</v>
      </c>
      <c r="H601" s="3" t="str">
        <f>CONCATENATE("64240286837")</f>
        <v>64240286837</v>
      </c>
      <c r="I601" s="3" t="s">
        <v>31</v>
      </c>
      <c r="J601" s="3" t="s">
        <v>26</v>
      </c>
      <c r="K601" s="3" t="str">
        <f t="shared" si="23"/>
        <v/>
      </c>
      <c r="L601" s="3" t="str">
        <f t="shared" si="27"/>
        <v>11 11.2 4b</v>
      </c>
      <c r="M601" s="3" t="str">
        <f>CONCATENATE("MSCMRA53L25I156U")</f>
        <v>MSCMRA53L25I156U</v>
      </c>
      <c r="N601" s="3" t="s">
        <v>714</v>
      </c>
      <c r="O601" s="3"/>
      <c r="P601" s="4">
        <v>42783</v>
      </c>
      <c r="Q601" s="3" t="s">
        <v>27</v>
      </c>
      <c r="R601" s="3" t="s">
        <v>28</v>
      </c>
      <c r="S601" s="3" t="s">
        <v>29</v>
      </c>
      <c r="T601" s="5">
        <v>2851.05</v>
      </c>
      <c r="U601" s="5">
        <v>1229.3699999999999</v>
      </c>
      <c r="V601" s="5">
        <v>1135.29</v>
      </c>
      <c r="W601" s="3">
        <v>486.39</v>
      </c>
    </row>
    <row r="602" spans="1:23" ht="60.75">
      <c r="A602" s="3" t="s">
        <v>23</v>
      </c>
      <c r="B602" s="3" t="s">
        <v>24</v>
      </c>
      <c r="C602" s="3" t="s">
        <v>35</v>
      </c>
      <c r="D602" s="3" t="s">
        <v>39</v>
      </c>
      <c r="E602" s="3" t="s">
        <v>30</v>
      </c>
      <c r="F602" s="3" t="s">
        <v>40</v>
      </c>
      <c r="G602" s="3">
        <v>2016</v>
      </c>
      <c r="H602" s="3" t="str">
        <f>CONCATENATE("64240381695")</f>
        <v>64240381695</v>
      </c>
      <c r="I602" s="3" t="s">
        <v>25</v>
      </c>
      <c r="J602" s="3" t="s">
        <v>26</v>
      </c>
      <c r="K602" s="3" t="str">
        <f t="shared" si="23"/>
        <v/>
      </c>
      <c r="L602" s="3" t="str">
        <f t="shared" si="27"/>
        <v>11 11.2 4b</v>
      </c>
      <c r="M602" s="3" t="str">
        <f>CONCATENATE("TNTGRG75S17E388V")</f>
        <v>TNTGRG75S17E388V</v>
      </c>
      <c r="N602" s="3" t="s">
        <v>715</v>
      </c>
      <c r="O602" s="3"/>
      <c r="P602" s="4">
        <v>42783</v>
      </c>
      <c r="Q602" s="3" t="s">
        <v>27</v>
      </c>
      <c r="R602" s="3" t="s">
        <v>28</v>
      </c>
      <c r="S602" s="3" t="s">
        <v>29</v>
      </c>
      <c r="T602" s="5">
        <v>3329.53</v>
      </c>
      <c r="U602" s="5">
        <v>1435.69</v>
      </c>
      <c r="V602" s="5">
        <v>1325.82</v>
      </c>
      <c r="W602" s="3">
        <v>568.02</v>
      </c>
    </row>
    <row r="603" spans="1:23" ht="72.75">
      <c r="A603" s="3" t="s">
        <v>23</v>
      </c>
      <c r="B603" s="3" t="s">
        <v>24</v>
      </c>
      <c r="C603" s="3" t="s">
        <v>35</v>
      </c>
      <c r="D603" s="3" t="s">
        <v>36</v>
      </c>
      <c r="E603" s="3" t="s">
        <v>30</v>
      </c>
      <c r="F603" s="3" t="s">
        <v>257</v>
      </c>
      <c r="G603" s="3">
        <v>2016</v>
      </c>
      <c r="H603" s="3" t="str">
        <f>CONCATENATE("64240633863")</f>
        <v>64240633863</v>
      </c>
      <c r="I603" s="3" t="s">
        <v>25</v>
      </c>
      <c r="J603" s="3" t="s">
        <v>26</v>
      </c>
      <c r="K603" s="3" t="str">
        <f t="shared" si="23"/>
        <v/>
      </c>
      <c r="L603" s="3" t="str">
        <f t="shared" si="27"/>
        <v>11 11.2 4b</v>
      </c>
      <c r="M603" s="3" t="str">
        <f>CONCATENATE("GNZNMR57S68F520V")</f>
        <v>GNZNMR57S68F520V</v>
      </c>
      <c r="N603" s="3" t="s">
        <v>716</v>
      </c>
      <c r="O603" s="3"/>
      <c r="P603" s="4">
        <v>42783</v>
      </c>
      <c r="Q603" s="3" t="s">
        <v>27</v>
      </c>
      <c r="R603" s="3" t="s">
        <v>28</v>
      </c>
      <c r="S603" s="3" t="s">
        <v>29</v>
      </c>
      <c r="T603" s="5">
        <v>2689.47</v>
      </c>
      <c r="U603" s="5">
        <v>1159.7</v>
      </c>
      <c r="V603" s="5">
        <v>1070.95</v>
      </c>
      <c r="W603" s="3">
        <v>458.82</v>
      </c>
    </row>
    <row r="604" spans="1:23" ht="36.75">
      <c r="A604" s="3" t="s">
        <v>23</v>
      </c>
      <c r="B604" s="3" t="s">
        <v>24</v>
      </c>
      <c r="C604" s="3" t="s">
        <v>35</v>
      </c>
      <c r="D604" s="3" t="s">
        <v>39</v>
      </c>
      <c r="E604" s="3" t="s">
        <v>32</v>
      </c>
      <c r="F604" s="3" t="s">
        <v>69</v>
      </c>
      <c r="G604" s="3">
        <v>2016</v>
      </c>
      <c r="H604" s="3" t="str">
        <f>CONCATENATE("64240509832")</f>
        <v>64240509832</v>
      </c>
      <c r="I604" s="3" t="s">
        <v>25</v>
      </c>
      <c r="J604" s="3" t="s">
        <v>26</v>
      </c>
      <c r="K604" s="3" t="str">
        <f t="shared" si="23"/>
        <v/>
      </c>
      <c r="L604" s="3" t="str">
        <f t="shared" si="27"/>
        <v>11 11.2 4b</v>
      </c>
      <c r="M604" s="3" t="str">
        <f>CONCATENATE("01234180428")</f>
        <v>01234180428</v>
      </c>
      <c r="N604" s="3" t="s">
        <v>717</v>
      </c>
      <c r="O604" s="3"/>
      <c r="P604" s="4">
        <v>42783</v>
      </c>
      <c r="Q604" s="3" t="s">
        <v>27</v>
      </c>
      <c r="R604" s="3" t="s">
        <v>28</v>
      </c>
      <c r="S604" s="3" t="s">
        <v>29</v>
      </c>
      <c r="T604" s="5">
        <v>5275.48</v>
      </c>
      <c r="U604" s="5">
        <v>2274.79</v>
      </c>
      <c r="V604" s="5">
        <v>2100.6999999999998</v>
      </c>
      <c r="W604" s="3">
        <v>899.99</v>
      </c>
    </row>
    <row r="605" spans="1:23" ht="72.75">
      <c r="A605" s="3" t="s">
        <v>23</v>
      </c>
      <c r="B605" s="3" t="s">
        <v>24</v>
      </c>
      <c r="C605" s="3" t="s">
        <v>35</v>
      </c>
      <c r="D605" s="3" t="s">
        <v>48</v>
      </c>
      <c r="E605" s="3" t="s">
        <v>32</v>
      </c>
      <c r="F605" s="3" t="s">
        <v>129</v>
      </c>
      <c r="G605" s="3">
        <v>2016</v>
      </c>
      <c r="H605" s="3" t="str">
        <f>CONCATENATE("64240676433")</f>
        <v>64240676433</v>
      </c>
      <c r="I605" s="3" t="s">
        <v>25</v>
      </c>
      <c r="J605" s="3" t="s">
        <v>26</v>
      </c>
      <c r="K605" s="3" t="str">
        <f t="shared" si="23"/>
        <v/>
      </c>
      <c r="L605" s="3" t="str">
        <f t="shared" si="27"/>
        <v>11 11.2 4b</v>
      </c>
      <c r="M605" s="3" t="str">
        <f>CONCATENATE("DSDMSM49R07F454J")</f>
        <v>DSDMSM49R07F454J</v>
      </c>
      <c r="N605" s="3" t="s">
        <v>718</v>
      </c>
      <c r="O605" s="3"/>
      <c r="P605" s="4">
        <v>42783</v>
      </c>
      <c r="Q605" s="3" t="s">
        <v>27</v>
      </c>
      <c r="R605" s="3" t="s">
        <v>28</v>
      </c>
      <c r="S605" s="3" t="s">
        <v>29</v>
      </c>
      <c r="T605" s="5">
        <v>2039.7</v>
      </c>
      <c r="U605" s="3">
        <v>879.52</v>
      </c>
      <c r="V605" s="3">
        <v>812.21</v>
      </c>
      <c r="W605" s="3">
        <v>347.97</v>
      </c>
    </row>
    <row r="606" spans="1:23" ht="60.75">
      <c r="A606" s="3" t="s">
        <v>23</v>
      </c>
      <c r="B606" s="3" t="s">
        <v>24</v>
      </c>
      <c r="C606" s="3" t="s">
        <v>35</v>
      </c>
      <c r="D606" s="3" t="s">
        <v>39</v>
      </c>
      <c r="E606" s="3" t="s">
        <v>30</v>
      </c>
      <c r="F606" s="3" t="s">
        <v>84</v>
      </c>
      <c r="G606" s="3">
        <v>2016</v>
      </c>
      <c r="H606" s="3" t="str">
        <f>CONCATENATE("64240704359")</f>
        <v>64240704359</v>
      </c>
      <c r="I606" s="3" t="s">
        <v>25</v>
      </c>
      <c r="J606" s="3" t="s">
        <v>26</v>
      </c>
      <c r="K606" s="3" t="str">
        <f t="shared" si="23"/>
        <v/>
      </c>
      <c r="L606" s="3" t="str">
        <f t="shared" si="27"/>
        <v>11 11.2 4b</v>
      </c>
      <c r="M606" s="3" t="str">
        <f>CONCATENATE("PRRRLD60D19C524S")</f>
        <v>PRRRLD60D19C524S</v>
      </c>
      <c r="N606" s="3" t="s">
        <v>719</v>
      </c>
      <c r="O606" s="3"/>
      <c r="P606" s="4">
        <v>42783</v>
      </c>
      <c r="Q606" s="3" t="s">
        <v>27</v>
      </c>
      <c r="R606" s="3" t="s">
        <v>28</v>
      </c>
      <c r="S606" s="3" t="s">
        <v>29</v>
      </c>
      <c r="T606" s="5">
        <v>6096.65</v>
      </c>
      <c r="U606" s="5">
        <v>2628.88</v>
      </c>
      <c r="V606" s="5">
        <v>2427.69</v>
      </c>
      <c r="W606" s="5">
        <v>1040.08</v>
      </c>
    </row>
    <row r="607" spans="1:23" ht="60.75">
      <c r="A607" s="3" t="s">
        <v>23</v>
      </c>
      <c r="B607" s="3" t="s">
        <v>24</v>
      </c>
      <c r="C607" s="3" t="s">
        <v>35</v>
      </c>
      <c r="D607" s="3" t="s">
        <v>48</v>
      </c>
      <c r="E607" s="3" t="s">
        <v>34</v>
      </c>
      <c r="F607" s="3" t="s">
        <v>141</v>
      </c>
      <c r="G607" s="3">
        <v>2016</v>
      </c>
      <c r="H607" s="3" t="str">
        <f>CONCATENATE("64240895777")</f>
        <v>64240895777</v>
      </c>
      <c r="I607" s="3" t="s">
        <v>25</v>
      </c>
      <c r="J607" s="3" t="s">
        <v>26</v>
      </c>
      <c r="K607" s="3" t="str">
        <f t="shared" si="23"/>
        <v/>
      </c>
      <c r="L607" s="3" t="str">
        <f t="shared" si="27"/>
        <v>11 11.2 4b</v>
      </c>
      <c r="M607" s="3" t="str">
        <f>CONCATENATE("MMINRN28L60F021L")</f>
        <v>MMINRN28L60F021L</v>
      </c>
      <c r="N607" s="3" t="s">
        <v>720</v>
      </c>
      <c r="O607" s="3"/>
      <c r="P607" s="4">
        <v>42783</v>
      </c>
      <c r="Q607" s="3" t="s">
        <v>27</v>
      </c>
      <c r="R607" s="3" t="s">
        <v>28</v>
      </c>
      <c r="S607" s="3" t="s">
        <v>29</v>
      </c>
      <c r="T607" s="5">
        <v>1605.97</v>
      </c>
      <c r="U607" s="3">
        <v>692.49</v>
      </c>
      <c r="V607" s="3">
        <v>639.5</v>
      </c>
      <c r="W607" s="3">
        <v>273.98</v>
      </c>
    </row>
    <row r="608" spans="1:23" ht="60.75">
      <c r="A608" s="3" t="s">
        <v>23</v>
      </c>
      <c r="B608" s="3" t="s">
        <v>24</v>
      </c>
      <c r="C608" s="3" t="s">
        <v>35</v>
      </c>
      <c r="D608" s="3" t="s">
        <v>43</v>
      </c>
      <c r="E608" s="3" t="s">
        <v>32</v>
      </c>
      <c r="F608" s="3" t="s">
        <v>44</v>
      </c>
      <c r="G608" s="3">
        <v>2016</v>
      </c>
      <c r="H608" s="3" t="str">
        <f>CONCATENATE("64240581815")</f>
        <v>64240581815</v>
      </c>
      <c r="I608" s="3" t="s">
        <v>25</v>
      </c>
      <c r="J608" s="3" t="s">
        <v>26</v>
      </c>
      <c r="K608" s="3" t="str">
        <f t="shared" si="23"/>
        <v/>
      </c>
      <c r="L608" s="3" t="str">
        <f>CONCATENATE("11 11.1 4b")</f>
        <v>11 11.1 4b</v>
      </c>
      <c r="M608" s="3" t="str">
        <f>CONCATENATE("PRMGRL81S29L500N")</f>
        <v>PRMGRL81S29L500N</v>
      </c>
      <c r="N608" s="3" t="s">
        <v>721</v>
      </c>
      <c r="O608" s="3"/>
      <c r="P608" s="4">
        <v>42783</v>
      </c>
      <c r="Q608" s="3" t="s">
        <v>27</v>
      </c>
      <c r="R608" s="3" t="s">
        <v>28</v>
      </c>
      <c r="S608" s="3" t="s">
        <v>29</v>
      </c>
      <c r="T608" s="3">
        <v>607.82000000000005</v>
      </c>
      <c r="U608" s="3">
        <v>262.08999999999997</v>
      </c>
      <c r="V608" s="3">
        <v>242.03</v>
      </c>
      <c r="W608" s="3">
        <v>103.7</v>
      </c>
    </row>
    <row r="609" spans="1:23" ht="36.75">
      <c r="A609" s="3" t="s">
        <v>23</v>
      </c>
      <c r="B609" s="3" t="s">
        <v>24</v>
      </c>
      <c r="C609" s="3" t="s">
        <v>35</v>
      </c>
      <c r="D609" s="3" t="s">
        <v>43</v>
      </c>
      <c r="E609" s="3" t="s">
        <v>30</v>
      </c>
      <c r="F609" s="3" t="s">
        <v>76</v>
      </c>
      <c r="G609" s="3">
        <v>2016</v>
      </c>
      <c r="H609" s="3" t="str">
        <f>CONCATENATE("64240257358")</f>
        <v>64240257358</v>
      </c>
      <c r="I609" s="3" t="s">
        <v>25</v>
      </c>
      <c r="J609" s="3" t="s">
        <v>26</v>
      </c>
      <c r="K609" s="3" t="str">
        <f t="shared" si="23"/>
        <v/>
      </c>
      <c r="L609" s="3" t="str">
        <f>CONCATENATE("11 11.1 4b")</f>
        <v>11 11.1 4b</v>
      </c>
      <c r="M609" s="3" t="str">
        <f>CONCATENATE("00409240413")</f>
        <v>00409240413</v>
      </c>
      <c r="N609" s="3" t="s">
        <v>722</v>
      </c>
      <c r="O609" s="3"/>
      <c r="P609" s="4">
        <v>42783</v>
      </c>
      <c r="Q609" s="3" t="s">
        <v>27</v>
      </c>
      <c r="R609" s="3" t="s">
        <v>28</v>
      </c>
      <c r="S609" s="3" t="s">
        <v>29</v>
      </c>
      <c r="T609" s="5">
        <v>12779.7</v>
      </c>
      <c r="U609" s="5">
        <v>5510.61</v>
      </c>
      <c r="V609" s="5">
        <v>5088.88</v>
      </c>
      <c r="W609" s="5">
        <v>2180.21</v>
      </c>
    </row>
    <row r="610" spans="1:23" ht="60.75">
      <c r="A610" s="3" t="s">
        <v>23</v>
      </c>
      <c r="B610" s="3" t="s">
        <v>24</v>
      </c>
      <c r="C610" s="3" t="s">
        <v>35</v>
      </c>
      <c r="D610" s="3" t="s">
        <v>43</v>
      </c>
      <c r="E610" s="3" t="s">
        <v>32</v>
      </c>
      <c r="F610" s="3" t="s">
        <v>78</v>
      </c>
      <c r="G610" s="3">
        <v>2016</v>
      </c>
      <c r="H610" s="3" t="str">
        <f>CONCATENATE("64240552915")</f>
        <v>64240552915</v>
      </c>
      <c r="I610" s="3" t="s">
        <v>25</v>
      </c>
      <c r="J610" s="3" t="s">
        <v>26</v>
      </c>
      <c r="K610" s="3" t="str">
        <f t="shared" si="23"/>
        <v/>
      </c>
      <c r="L610" s="3" t="str">
        <f>CONCATENATE("11 11.2 4b")</f>
        <v>11 11.2 4b</v>
      </c>
      <c r="M610" s="3" t="str">
        <f>CONCATENATE("DCHLVN69T18L500N")</f>
        <v>DCHLVN69T18L500N</v>
      </c>
      <c r="N610" s="3" t="s">
        <v>723</v>
      </c>
      <c r="O610" s="3"/>
      <c r="P610" s="4">
        <v>42783</v>
      </c>
      <c r="Q610" s="3" t="s">
        <v>27</v>
      </c>
      <c r="R610" s="3" t="s">
        <v>28</v>
      </c>
      <c r="S610" s="3" t="s">
        <v>29</v>
      </c>
      <c r="T610" s="5">
        <v>8795.57</v>
      </c>
      <c r="U610" s="5">
        <v>3792.65</v>
      </c>
      <c r="V610" s="5">
        <v>3502.4</v>
      </c>
      <c r="W610" s="5">
        <v>1500.52</v>
      </c>
    </row>
    <row r="611" spans="1:23" ht="60.75">
      <c r="A611" s="3" t="s">
        <v>23</v>
      </c>
      <c r="B611" s="3" t="s">
        <v>24</v>
      </c>
      <c r="C611" s="3" t="s">
        <v>35</v>
      </c>
      <c r="D611" s="3" t="s">
        <v>39</v>
      </c>
      <c r="E611" s="3" t="s">
        <v>32</v>
      </c>
      <c r="F611" s="3" t="s">
        <v>69</v>
      </c>
      <c r="G611" s="3">
        <v>2016</v>
      </c>
      <c r="H611" s="3" t="str">
        <f>CONCATENATE("64240501904")</f>
        <v>64240501904</v>
      </c>
      <c r="I611" s="3" t="s">
        <v>25</v>
      </c>
      <c r="J611" s="3" t="s">
        <v>26</v>
      </c>
      <c r="K611" s="3" t="str">
        <f t="shared" si="23"/>
        <v/>
      </c>
      <c r="L611" s="3" t="str">
        <f>CONCATENATE("11 11.2 4b")</f>
        <v>11 11.2 4b</v>
      </c>
      <c r="M611" s="3" t="str">
        <f>CONCATENATE("MRTPPL59M13Z700N")</f>
        <v>MRTPPL59M13Z700N</v>
      </c>
      <c r="N611" s="3" t="s">
        <v>724</v>
      </c>
      <c r="O611" s="3"/>
      <c r="P611" s="4">
        <v>42783</v>
      </c>
      <c r="Q611" s="3" t="s">
        <v>27</v>
      </c>
      <c r="R611" s="3" t="s">
        <v>28</v>
      </c>
      <c r="S611" s="3" t="s">
        <v>29</v>
      </c>
      <c r="T611" s="3">
        <v>880.05</v>
      </c>
      <c r="U611" s="3">
        <v>379.48</v>
      </c>
      <c r="V611" s="3">
        <v>350.44</v>
      </c>
      <c r="W611" s="3">
        <v>150.13</v>
      </c>
    </row>
    <row r="612" spans="1:23" ht="36.75">
      <c r="A612" s="3" t="s">
        <v>23</v>
      </c>
      <c r="B612" s="3" t="s">
        <v>24</v>
      </c>
      <c r="C612" s="3" t="s">
        <v>35</v>
      </c>
      <c r="D612" s="3" t="s">
        <v>39</v>
      </c>
      <c r="E612" s="3" t="s">
        <v>32</v>
      </c>
      <c r="F612" s="3" t="s">
        <v>215</v>
      </c>
      <c r="G612" s="3">
        <v>2016</v>
      </c>
      <c r="H612" s="3" t="str">
        <f>CONCATENATE("64240349775")</f>
        <v>64240349775</v>
      </c>
      <c r="I612" s="3" t="s">
        <v>25</v>
      </c>
      <c r="J612" s="3" t="s">
        <v>26</v>
      </c>
      <c r="K612" s="3" t="str">
        <f t="shared" si="23"/>
        <v/>
      </c>
      <c r="L612" s="3" t="str">
        <f>CONCATENATE("11 11.1 4b")</f>
        <v>11 11.1 4b</v>
      </c>
      <c r="M612" s="3" t="str">
        <f>CONCATENATE("02706580426")</f>
        <v>02706580426</v>
      </c>
      <c r="N612" s="3" t="s">
        <v>725</v>
      </c>
      <c r="O612" s="3"/>
      <c r="P612" s="4">
        <v>42783</v>
      </c>
      <c r="Q612" s="3" t="s">
        <v>27</v>
      </c>
      <c r="R612" s="3" t="s">
        <v>28</v>
      </c>
      <c r="S612" s="3" t="s">
        <v>29</v>
      </c>
      <c r="T612" s="5">
        <v>2082.31</v>
      </c>
      <c r="U612" s="3">
        <v>897.89</v>
      </c>
      <c r="V612" s="3">
        <v>829.18</v>
      </c>
      <c r="W612" s="3">
        <v>355.24</v>
      </c>
    </row>
    <row r="613" spans="1:23" ht="60.75">
      <c r="A613" s="3" t="s">
        <v>23</v>
      </c>
      <c r="B613" s="3" t="s">
        <v>24</v>
      </c>
      <c r="C613" s="3" t="s">
        <v>35</v>
      </c>
      <c r="D613" s="3" t="s">
        <v>36</v>
      </c>
      <c r="E613" s="3" t="s">
        <v>34</v>
      </c>
      <c r="F613" s="3" t="s">
        <v>273</v>
      </c>
      <c r="G613" s="3">
        <v>2016</v>
      </c>
      <c r="H613" s="3" t="str">
        <f>CONCATENATE("64240095139")</f>
        <v>64240095139</v>
      </c>
      <c r="I613" s="3" t="s">
        <v>25</v>
      </c>
      <c r="J613" s="3" t="s">
        <v>26</v>
      </c>
      <c r="K613" s="3" t="str">
        <f t="shared" si="23"/>
        <v/>
      </c>
      <c r="L613" s="3" t="str">
        <f>CONCATENATE("11 11.2 4b")</f>
        <v>11 11.2 4b</v>
      </c>
      <c r="M613" s="3" t="str">
        <f>CONCATENATE("DNGMLL63H68F415U")</f>
        <v>DNGMLL63H68F415U</v>
      </c>
      <c r="N613" s="3" t="s">
        <v>726</v>
      </c>
      <c r="O613" s="3"/>
      <c r="P613" s="4">
        <v>42783</v>
      </c>
      <c r="Q613" s="3" t="s">
        <v>27</v>
      </c>
      <c r="R613" s="3" t="s">
        <v>28</v>
      </c>
      <c r="S613" s="3" t="s">
        <v>29</v>
      </c>
      <c r="T613" s="5">
        <v>2863.78</v>
      </c>
      <c r="U613" s="5">
        <v>1234.8599999999999</v>
      </c>
      <c r="V613" s="5">
        <v>1140.3599999999999</v>
      </c>
      <c r="W613" s="3">
        <v>488.56</v>
      </c>
    </row>
    <row r="614" spans="1:23" ht="60.75">
      <c r="A614" s="3" t="s">
        <v>23</v>
      </c>
      <c r="B614" s="3" t="s">
        <v>24</v>
      </c>
      <c r="C614" s="3" t="s">
        <v>35</v>
      </c>
      <c r="D614" s="3" t="s">
        <v>43</v>
      </c>
      <c r="E614" s="3" t="s">
        <v>32</v>
      </c>
      <c r="F614" s="3" t="s">
        <v>44</v>
      </c>
      <c r="G614" s="3">
        <v>2016</v>
      </c>
      <c r="H614" s="3" t="str">
        <f>CONCATENATE("64240780664")</f>
        <v>64240780664</v>
      </c>
      <c r="I614" s="3" t="s">
        <v>25</v>
      </c>
      <c r="J614" s="3" t="s">
        <v>26</v>
      </c>
      <c r="K614" s="3" t="str">
        <f t="shared" si="23"/>
        <v/>
      </c>
      <c r="L614" s="3" t="str">
        <f>CONCATENATE("11 11.2 4b")</f>
        <v>11 11.2 4b</v>
      </c>
      <c r="M614" s="3" t="str">
        <f>CONCATENATE("RSSRRT62E06F205Q")</f>
        <v>RSSRRT62E06F205Q</v>
      </c>
      <c r="N614" s="3" t="s">
        <v>727</v>
      </c>
      <c r="O614" s="3"/>
      <c r="P614" s="4">
        <v>42783</v>
      </c>
      <c r="Q614" s="3" t="s">
        <v>27</v>
      </c>
      <c r="R614" s="3" t="s">
        <v>28</v>
      </c>
      <c r="S614" s="3" t="s">
        <v>29</v>
      </c>
      <c r="T614" s="5">
        <v>2581.0100000000002</v>
      </c>
      <c r="U614" s="5">
        <v>1112.93</v>
      </c>
      <c r="V614" s="5">
        <v>1027.76</v>
      </c>
      <c r="W614" s="3">
        <v>440.32</v>
      </c>
    </row>
    <row r="615" spans="1:23" ht="60.75">
      <c r="A615" s="3" t="s">
        <v>23</v>
      </c>
      <c r="B615" s="3" t="s">
        <v>24</v>
      </c>
      <c r="C615" s="3" t="s">
        <v>35</v>
      </c>
      <c r="D615" s="3" t="s">
        <v>43</v>
      </c>
      <c r="E615" s="3" t="s">
        <v>49</v>
      </c>
      <c r="F615" s="3" t="s">
        <v>139</v>
      </c>
      <c r="G615" s="3">
        <v>2016</v>
      </c>
      <c r="H615" s="3" t="str">
        <f>CONCATENATE("64240406070")</f>
        <v>64240406070</v>
      </c>
      <c r="I615" s="3" t="s">
        <v>25</v>
      </c>
      <c r="J615" s="3" t="s">
        <v>26</v>
      </c>
      <c r="K615" s="3" t="str">
        <f t="shared" si="23"/>
        <v/>
      </c>
      <c r="L615" s="3" t="str">
        <f>CONCATENATE("11 11.2 4b")</f>
        <v>11 11.2 4b</v>
      </c>
      <c r="M615" s="3" t="str">
        <f>CONCATENATE("CRBMRK73R26L500S")</f>
        <v>CRBMRK73R26L500S</v>
      </c>
      <c r="N615" s="3" t="s">
        <v>728</v>
      </c>
      <c r="O615" s="3"/>
      <c r="P615" s="4">
        <v>42783</v>
      </c>
      <c r="Q615" s="3" t="s">
        <v>27</v>
      </c>
      <c r="R615" s="3" t="s">
        <v>28</v>
      </c>
      <c r="S615" s="3" t="s">
        <v>29</v>
      </c>
      <c r="T615" s="5">
        <v>1479.97</v>
      </c>
      <c r="U615" s="3">
        <v>638.16</v>
      </c>
      <c r="V615" s="3">
        <v>589.32000000000005</v>
      </c>
      <c r="W615" s="3">
        <v>252.49</v>
      </c>
    </row>
    <row r="616" spans="1:23" ht="36.75">
      <c r="A616" s="3" t="s">
        <v>23</v>
      </c>
      <c r="B616" s="3" t="s">
        <v>24</v>
      </c>
      <c r="C616" s="3" t="s">
        <v>35</v>
      </c>
      <c r="D616" s="3" t="s">
        <v>43</v>
      </c>
      <c r="E616" s="3" t="s">
        <v>32</v>
      </c>
      <c r="F616" s="3" t="s">
        <v>335</v>
      </c>
      <c r="G616" s="3">
        <v>2016</v>
      </c>
      <c r="H616" s="3" t="str">
        <f>CONCATENATE("64240530325")</f>
        <v>64240530325</v>
      </c>
      <c r="I616" s="3" t="s">
        <v>31</v>
      </c>
      <c r="J616" s="3" t="s">
        <v>26</v>
      </c>
      <c r="K616" s="3" t="str">
        <f t="shared" si="23"/>
        <v/>
      </c>
      <c r="L616" s="3" t="str">
        <f>CONCATENATE("11 11.1 4b")</f>
        <v>11 11.1 4b</v>
      </c>
      <c r="M616" s="3" t="str">
        <f>CONCATENATE("02559240417")</f>
        <v>02559240417</v>
      </c>
      <c r="N616" s="3" t="s">
        <v>729</v>
      </c>
      <c r="O616" s="3"/>
      <c r="P616" s="4">
        <v>42783</v>
      </c>
      <c r="Q616" s="3" t="s">
        <v>27</v>
      </c>
      <c r="R616" s="3" t="s">
        <v>28</v>
      </c>
      <c r="S616" s="3" t="s">
        <v>29</v>
      </c>
      <c r="T616" s="5">
        <v>1784.37</v>
      </c>
      <c r="U616" s="3">
        <v>769.42</v>
      </c>
      <c r="V616" s="3">
        <v>710.54</v>
      </c>
      <c r="W616" s="3">
        <v>304.41000000000003</v>
      </c>
    </row>
    <row r="617" spans="1:23" ht="60.75">
      <c r="A617" s="3" t="s">
        <v>23</v>
      </c>
      <c r="B617" s="3" t="s">
        <v>24</v>
      </c>
      <c r="C617" s="3" t="s">
        <v>35</v>
      </c>
      <c r="D617" s="3" t="s">
        <v>43</v>
      </c>
      <c r="E617" s="3" t="s">
        <v>34</v>
      </c>
      <c r="F617" s="3" t="s">
        <v>146</v>
      </c>
      <c r="G617" s="3">
        <v>2016</v>
      </c>
      <c r="H617" s="3" t="str">
        <f>CONCATENATE("64240301602")</f>
        <v>64240301602</v>
      </c>
      <c r="I617" s="3" t="s">
        <v>25</v>
      </c>
      <c r="J617" s="3" t="s">
        <v>26</v>
      </c>
      <c r="K617" s="3" t="str">
        <f t="shared" si="23"/>
        <v/>
      </c>
      <c r="L617" s="3" t="str">
        <f>CONCATENATE("11 11.2 4b")</f>
        <v>11 11.2 4b</v>
      </c>
      <c r="M617" s="3" t="str">
        <f>CONCATENATE("BCRBBR75P68F205X")</f>
        <v>BCRBBR75P68F205X</v>
      </c>
      <c r="N617" s="3" t="s">
        <v>730</v>
      </c>
      <c r="O617" s="3"/>
      <c r="P617" s="4">
        <v>42783</v>
      </c>
      <c r="Q617" s="3" t="s">
        <v>27</v>
      </c>
      <c r="R617" s="3" t="s">
        <v>28</v>
      </c>
      <c r="S617" s="3" t="s">
        <v>29</v>
      </c>
      <c r="T617" s="5">
        <v>5642.9</v>
      </c>
      <c r="U617" s="5">
        <v>2433.2199999999998</v>
      </c>
      <c r="V617" s="5">
        <v>2247</v>
      </c>
      <c r="W617" s="3">
        <v>962.68</v>
      </c>
    </row>
    <row r="618" spans="1:23" ht="60.75">
      <c r="A618" s="3" t="s">
        <v>23</v>
      </c>
      <c r="B618" s="3" t="s">
        <v>24</v>
      </c>
      <c r="C618" s="3" t="s">
        <v>35</v>
      </c>
      <c r="D618" s="3" t="s">
        <v>36</v>
      </c>
      <c r="E618" s="3" t="s">
        <v>30</v>
      </c>
      <c r="F618" s="3" t="s">
        <v>37</v>
      </c>
      <c r="G618" s="3">
        <v>2016</v>
      </c>
      <c r="H618" s="3" t="str">
        <f>CONCATENATE("64240518304")</f>
        <v>64240518304</v>
      </c>
      <c r="I618" s="3" t="s">
        <v>25</v>
      </c>
      <c r="J618" s="3" t="s">
        <v>26</v>
      </c>
      <c r="K618" s="3" t="str">
        <f t="shared" si="23"/>
        <v/>
      </c>
      <c r="L618" s="3" t="str">
        <f>CONCATENATE("10 10.1 4a")</f>
        <v>10 10.1 4a</v>
      </c>
      <c r="M618" s="3" t="str">
        <f>CONCATENATE("GHMMRL68S49Z129X")</f>
        <v>GHMMRL68S49Z129X</v>
      </c>
      <c r="N618" s="3" t="s">
        <v>731</v>
      </c>
      <c r="O618" s="3"/>
      <c r="P618" s="4">
        <v>42783</v>
      </c>
      <c r="Q618" s="3" t="s">
        <v>27</v>
      </c>
      <c r="R618" s="3" t="s">
        <v>28</v>
      </c>
      <c r="S618" s="3" t="s">
        <v>29</v>
      </c>
      <c r="T618" s="5">
        <v>1111.18</v>
      </c>
      <c r="U618" s="3">
        <v>479.14</v>
      </c>
      <c r="V618" s="3">
        <v>442.47</v>
      </c>
      <c r="W618" s="3">
        <v>189.57</v>
      </c>
    </row>
    <row r="619" spans="1:23" ht="60.75">
      <c r="A619" s="3" t="s">
        <v>23</v>
      </c>
      <c r="B619" s="3" t="s">
        <v>24</v>
      </c>
      <c r="C619" s="3" t="s">
        <v>35</v>
      </c>
      <c r="D619" s="3" t="s">
        <v>36</v>
      </c>
      <c r="E619" s="3" t="s">
        <v>42</v>
      </c>
      <c r="F619" s="3" t="s">
        <v>42</v>
      </c>
      <c r="G619" s="3">
        <v>2016</v>
      </c>
      <c r="H619" s="3" t="str">
        <f>CONCATENATE("64240043378")</f>
        <v>64240043378</v>
      </c>
      <c r="I619" s="3" t="s">
        <v>25</v>
      </c>
      <c r="J619" s="3" t="s">
        <v>26</v>
      </c>
      <c r="K619" s="3" t="str">
        <f t="shared" si="23"/>
        <v/>
      </c>
      <c r="L619" s="3" t="str">
        <f>CONCATENATE("11 11.2 4b")</f>
        <v>11 11.2 4b</v>
      </c>
      <c r="M619" s="3" t="str">
        <f>CONCATENATE("MNLGNN38B04D542T")</f>
        <v>MNLGNN38B04D542T</v>
      </c>
      <c r="N619" s="3" t="s">
        <v>732</v>
      </c>
      <c r="O619" s="3"/>
      <c r="P619" s="4">
        <v>42783</v>
      </c>
      <c r="Q619" s="3" t="s">
        <v>27</v>
      </c>
      <c r="R619" s="3" t="s">
        <v>28</v>
      </c>
      <c r="S619" s="3" t="s">
        <v>29</v>
      </c>
      <c r="T619" s="5">
        <v>5222.74</v>
      </c>
      <c r="U619" s="5">
        <v>2252.0500000000002</v>
      </c>
      <c r="V619" s="5">
        <v>2079.6999999999998</v>
      </c>
      <c r="W619" s="3">
        <v>890.99</v>
      </c>
    </row>
    <row r="620" spans="1:23" ht="72.75">
      <c r="A620" s="3" t="s">
        <v>23</v>
      </c>
      <c r="B620" s="3" t="s">
        <v>24</v>
      </c>
      <c r="C620" s="3" t="s">
        <v>35</v>
      </c>
      <c r="D620" s="3" t="s">
        <v>43</v>
      </c>
      <c r="E620" s="3" t="s">
        <v>34</v>
      </c>
      <c r="F620" s="3" t="s">
        <v>146</v>
      </c>
      <c r="G620" s="3">
        <v>2016</v>
      </c>
      <c r="H620" s="3" t="str">
        <f>CONCATENATE("64240262432")</f>
        <v>64240262432</v>
      </c>
      <c r="I620" s="3" t="s">
        <v>25</v>
      </c>
      <c r="J620" s="3" t="s">
        <v>26</v>
      </c>
      <c r="K620" s="3" t="str">
        <f t="shared" si="23"/>
        <v/>
      </c>
      <c r="L620" s="3" t="str">
        <f>CONCATENATE("11 11.2 4b")</f>
        <v>11 11.2 4b</v>
      </c>
      <c r="M620" s="3" t="str">
        <f>CONCATENATE("PRTCNZ62A60D749V")</f>
        <v>PRTCNZ62A60D749V</v>
      </c>
      <c r="N620" s="3" t="s">
        <v>733</v>
      </c>
      <c r="O620" s="3"/>
      <c r="P620" s="4">
        <v>42783</v>
      </c>
      <c r="Q620" s="3" t="s">
        <v>27</v>
      </c>
      <c r="R620" s="3" t="s">
        <v>28</v>
      </c>
      <c r="S620" s="3" t="s">
        <v>29</v>
      </c>
      <c r="T620" s="5">
        <v>3588.84</v>
      </c>
      <c r="U620" s="5">
        <v>1547.51</v>
      </c>
      <c r="V620" s="5">
        <v>1429.08</v>
      </c>
      <c r="W620" s="3">
        <v>612.25</v>
      </c>
    </row>
    <row r="621" spans="1:23" ht="60.75">
      <c r="A621" s="3" t="s">
        <v>23</v>
      </c>
      <c r="B621" s="3" t="s">
        <v>24</v>
      </c>
      <c r="C621" s="3" t="s">
        <v>35</v>
      </c>
      <c r="D621" s="3" t="s">
        <v>48</v>
      </c>
      <c r="E621" s="3" t="s">
        <v>49</v>
      </c>
      <c r="F621" s="3" t="s">
        <v>50</v>
      </c>
      <c r="G621" s="3">
        <v>2016</v>
      </c>
      <c r="H621" s="3" t="str">
        <f>CONCATENATE("64240245395")</f>
        <v>64240245395</v>
      </c>
      <c r="I621" s="3" t="s">
        <v>25</v>
      </c>
      <c r="J621" s="3" t="s">
        <v>26</v>
      </c>
      <c r="K621" s="3" t="str">
        <f t="shared" si="23"/>
        <v/>
      </c>
      <c r="L621" s="3" t="str">
        <f>CONCATENATE("11 11.2 4b")</f>
        <v>11 11.2 4b</v>
      </c>
      <c r="M621" s="3" t="str">
        <f>CONCATENATE("SLRMCR52E48H501C")</f>
        <v>SLRMCR52E48H501C</v>
      </c>
      <c r="N621" s="3" t="s">
        <v>734</v>
      </c>
      <c r="O621" s="3"/>
      <c r="P621" s="4">
        <v>42783</v>
      </c>
      <c r="Q621" s="3" t="s">
        <v>27</v>
      </c>
      <c r="R621" s="3" t="s">
        <v>28</v>
      </c>
      <c r="S621" s="3" t="s">
        <v>29</v>
      </c>
      <c r="T621" s="5">
        <v>1576.6</v>
      </c>
      <c r="U621" s="3">
        <v>679.83</v>
      </c>
      <c r="V621" s="3">
        <v>627.79999999999995</v>
      </c>
      <c r="W621" s="3">
        <v>268.97000000000003</v>
      </c>
    </row>
    <row r="622" spans="1:23" ht="60.75">
      <c r="A622" s="3" t="s">
        <v>23</v>
      </c>
      <c r="B622" s="3" t="s">
        <v>24</v>
      </c>
      <c r="C622" s="3" t="s">
        <v>35</v>
      </c>
      <c r="D622" s="3" t="s">
        <v>43</v>
      </c>
      <c r="E622" s="3" t="s">
        <v>30</v>
      </c>
      <c r="F622" s="3" t="s">
        <v>113</v>
      </c>
      <c r="G622" s="3">
        <v>2016</v>
      </c>
      <c r="H622" s="3" t="str">
        <f>CONCATENATE("64240878617")</f>
        <v>64240878617</v>
      </c>
      <c r="I622" s="3" t="s">
        <v>25</v>
      </c>
      <c r="J622" s="3" t="s">
        <v>26</v>
      </c>
      <c r="K622" s="3" t="str">
        <f t="shared" ref="K622:K685" si="28">CONCATENATE("")</f>
        <v/>
      </c>
      <c r="L622" s="3" t="str">
        <f>CONCATENATE("11 11.1 4b")</f>
        <v>11 11.1 4b</v>
      </c>
      <c r="M622" s="3" t="str">
        <f>CONCATENATE("MRTLCU71T11C745Y")</f>
        <v>MRTLCU71T11C745Y</v>
      </c>
      <c r="N622" s="3" t="s">
        <v>735</v>
      </c>
      <c r="O622" s="3"/>
      <c r="P622" s="4">
        <v>42783</v>
      </c>
      <c r="Q622" s="3" t="s">
        <v>27</v>
      </c>
      <c r="R622" s="3" t="s">
        <v>28</v>
      </c>
      <c r="S622" s="3" t="s">
        <v>29</v>
      </c>
      <c r="T622" s="5">
        <v>3399.74</v>
      </c>
      <c r="U622" s="5">
        <v>1465.97</v>
      </c>
      <c r="V622" s="5">
        <v>1353.78</v>
      </c>
      <c r="W622" s="3">
        <v>579.99</v>
      </c>
    </row>
    <row r="623" spans="1:23" ht="60.75">
      <c r="A623" s="3" t="s">
        <v>23</v>
      </c>
      <c r="B623" s="3" t="s">
        <v>24</v>
      </c>
      <c r="C623" s="3" t="s">
        <v>35</v>
      </c>
      <c r="D623" s="3" t="s">
        <v>43</v>
      </c>
      <c r="E623" s="3" t="s">
        <v>32</v>
      </c>
      <c r="F623" s="3" t="s">
        <v>78</v>
      </c>
      <c r="G623" s="3">
        <v>2016</v>
      </c>
      <c r="H623" s="3" t="str">
        <f>CONCATENATE("64240431433")</f>
        <v>64240431433</v>
      </c>
      <c r="I623" s="3" t="s">
        <v>25</v>
      </c>
      <c r="J623" s="3" t="s">
        <v>26</v>
      </c>
      <c r="K623" s="3" t="str">
        <f t="shared" si="28"/>
        <v/>
      </c>
      <c r="L623" s="3" t="str">
        <f t="shared" ref="L623:L629" si="29">CONCATENATE("11 11.2 4b")</f>
        <v>11 11.2 4b</v>
      </c>
      <c r="M623" s="3" t="str">
        <f>CONCATENATE("PSTFLC69A03F205X")</f>
        <v>PSTFLC69A03F205X</v>
      </c>
      <c r="N623" s="3" t="s">
        <v>736</v>
      </c>
      <c r="O623" s="3"/>
      <c r="P623" s="4">
        <v>42783</v>
      </c>
      <c r="Q623" s="3" t="s">
        <v>27</v>
      </c>
      <c r="R623" s="3" t="s">
        <v>28</v>
      </c>
      <c r="S623" s="3" t="s">
        <v>29</v>
      </c>
      <c r="T623" s="5">
        <v>2229.7199999999998</v>
      </c>
      <c r="U623" s="3">
        <v>961.46</v>
      </c>
      <c r="V623" s="3">
        <v>887.87</v>
      </c>
      <c r="W623" s="3">
        <v>380.39</v>
      </c>
    </row>
    <row r="624" spans="1:23" ht="72.75">
      <c r="A624" s="3" t="s">
        <v>23</v>
      </c>
      <c r="B624" s="3" t="s">
        <v>24</v>
      </c>
      <c r="C624" s="3" t="s">
        <v>35</v>
      </c>
      <c r="D624" s="3" t="s">
        <v>36</v>
      </c>
      <c r="E624" s="3" t="s">
        <v>30</v>
      </c>
      <c r="F624" s="3" t="s">
        <v>53</v>
      </c>
      <c r="G624" s="3">
        <v>2016</v>
      </c>
      <c r="H624" s="3" t="str">
        <f>CONCATENATE("64240314175")</f>
        <v>64240314175</v>
      </c>
      <c r="I624" s="3" t="s">
        <v>25</v>
      </c>
      <c r="J624" s="3" t="s">
        <v>26</v>
      </c>
      <c r="K624" s="3" t="str">
        <f t="shared" si="28"/>
        <v/>
      </c>
      <c r="L624" s="3" t="str">
        <f t="shared" si="29"/>
        <v>11 11.2 4b</v>
      </c>
      <c r="M624" s="3" t="str">
        <f>CONCATENATE("MRNMNN70A63F501T")</f>
        <v>MRNMNN70A63F501T</v>
      </c>
      <c r="N624" s="3" t="s">
        <v>737</v>
      </c>
      <c r="O624" s="3"/>
      <c r="P624" s="4">
        <v>42783</v>
      </c>
      <c r="Q624" s="3" t="s">
        <v>27</v>
      </c>
      <c r="R624" s="3" t="s">
        <v>28</v>
      </c>
      <c r="S624" s="3" t="s">
        <v>29</v>
      </c>
      <c r="T624" s="5">
        <v>1139.3499999999999</v>
      </c>
      <c r="U624" s="3">
        <v>491.29</v>
      </c>
      <c r="V624" s="3">
        <v>453.69</v>
      </c>
      <c r="W624" s="3">
        <v>194.37</v>
      </c>
    </row>
    <row r="625" spans="1:23" ht="60.75">
      <c r="A625" s="3" t="s">
        <v>23</v>
      </c>
      <c r="B625" s="3" t="s">
        <v>24</v>
      </c>
      <c r="C625" s="3" t="s">
        <v>35</v>
      </c>
      <c r="D625" s="3" t="s">
        <v>36</v>
      </c>
      <c r="E625" s="3" t="s">
        <v>30</v>
      </c>
      <c r="F625" s="3" t="s">
        <v>323</v>
      </c>
      <c r="G625" s="3">
        <v>2016</v>
      </c>
      <c r="H625" s="3" t="str">
        <f>CONCATENATE("64240499679")</f>
        <v>64240499679</v>
      </c>
      <c r="I625" s="3" t="s">
        <v>25</v>
      </c>
      <c r="J625" s="3" t="s">
        <v>26</v>
      </c>
      <c r="K625" s="3" t="str">
        <f t="shared" si="28"/>
        <v/>
      </c>
      <c r="L625" s="3" t="str">
        <f t="shared" si="29"/>
        <v>11 11.2 4b</v>
      </c>
      <c r="M625" s="3" t="str">
        <f>CONCATENATE("SLQNDR31P04C321T")</f>
        <v>SLQNDR31P04C321T</v>
      </c>
      <c r="N625" s="3" t="s">
        <v>738</v>
      </c>
      <c r="O625" s="3"/>
      <c r="P625" s="4">
        <v>42783</v>
      </c>
      <c r="Q625" s="3" t="s">
        <v>27</v>
      </c>
      <c r="R625" s="3" t="s">
        <v>28</v>
      </c>
      <c r="S625" s="3" t="s">
        <v>29</v>
      </c>
      <c r="T625" s="5">
        <v>2536.5</v>
      </c>
      <c r="U625" s="5">
        <v>1093.74</v>
      </c>
      <c r="V625" s="5">
        <v>1010.03</v>
      </c>
      <c r="W625" s="3">
        <v>432.73</v>
      </c>
    </row>
    <row r="626" spans="1:23" ht="72.75">
      <c r="A626" s="3" t="s">
        <v>23</v>
      </c>
      <c r="B626" s="3" t="s">
        <v>24</v>
      </c>
      <c r="C626" s="3" t="s">
        <v>35</v>
      </c>
      <c r="D626" s="3" t="s">
        <v>39</v>
      </c>
      <c r="E626" s="3" t="s">
        <v>32</v>
      </c>
      <c r="F626" s="3" t="s">
        <v>69</v>
      </c>
      <c r="G626" s="3">
        <v>2016</v>
      </c>
      <c r="H626" s="3" t="str">
        <f>CONCATENATE("64240508909")</f>
        <v>64240508909</v>
      </c>
      <c r="I626" s="3" t="s">
        <v>25</v>
      </c>
      <c r="J626" s="3" t="s">
        <v>26</v>
      </c>
      <c r="K626" s="3" t="str">
        <f t="shared" si="28"/>
        <v/>
      </c>
      <c r="L626" s="3" t="str">
        <f t="shared" si="29"/>
        <v>11 11.2 4b</v>
      </c>
      <c r="M626" s="3" t="str">
        <f>CONCATENATE("PVRMSM71H07D451H")</f>
        <v>PVRMSM71H07D451H</v>
      </c>
      <c r="N626" s="3" t="s">
        <v>739</v>
      </c>
      <c r="O626" s="3"/>
      <c r="P626" s="4">
        <v>42783</v>
      </c>
      <c r="Q626" s="3" t="s">
        <v>27</v>
      </c>
      <c r="R626" s="3" t="s">
        <v>28</v>
      </c>
      <c r="S626" s="3" t="s">
        <v>29</v>
      </c>
      <c r="T626" s="5">
        <v>2337.8000000000002</v>
      </c>
      <c r="U626" s="5">
        <v>1008.06</v>
      </c>
      <c r="V626" s="3">
        <v>930.91</v>
      </c>
      <c r="W626" s="3">
        <v>398.83</v>
      </c>
    </row>
    <row r="627" spans="1:23" ht="60.75">
      <c r="A627" s="3" t="s">
        <v>23</v>
      </c>
      <c r="B627" s="3" t="s">
        <v>24</v>
      </c>
      <c r="C627" s="3" t="s">
        <v>35</v>
      </c>
      <c r="D627" s="3" t="s">
        <v>36</v>
      </c>
      <c r="E627" s="3" t="s">
        <v>30</v>
      </c>
      <c r="F627" s="3" t="s">
        <v>323</v>
      </c>
      <c r="G627" s="3">
        <v>2016</v>
      </c>
      <c r="H627" s="3" t="str">
        <f>CONCATENATE("64240625414")</f>
        <v>64240625414</v>
      </c>
      <c r="I627" s="3" t="s">
        <v>25</v>
      </c>
      <c r="J627" s="3" t="s">
        <v>26</v>
      </c>
      <c r="K627" s="3" t="str">
        <f t="shared" si="28"/>
        <v/>
      </c>
      <c r="L627" s="3" t="str">
        <f t="shared" si="29"/>
        <v>11 11.2 4b</v>
      </c>
      <c r="M627" s="3" t="str">
        <f>CONCATENATE("NNISVR57A08C321S")</f>
        <v>NNISVR57A08C321S</v>
      </c>
      <c r="N627" s="3" t="s">
        <v>740</v>
      </c>
      <c r="O627" s="3"/>
      <c r="P627" s="4">
        <v>42783</v>
      </c>
      <c r="Q627" s="3" t="s">
        <v>27</v>
      </c>
      <c r="R627" s="3" t="s">
        <v>28</v>
      </c>
      <c r="S627" s="3" t="s">
        <v>29</v>
      </c>
      <c r="T627" s="5">
        <v>3191.89</v>
      </c>
      <c r="U627" s="5">
        <v>1376.34</v>
      </c>
      <c r="V627" s="5">
        <v>1271.01</v>
      </c>
      <c r="W627" s="3">
        <v>544.54</v>
      </c>
    </row>
    <row r="628" spans="1:23" ht="60.75">
      <c r="A628" s="3" t="s">
        <v>23</v>
      </c>
      <c r="B628" s="3" t="s">
        <v>24</v>
      </c>
      <c r="C628" s="3" t="s">
        <v>35</v>
      </c>
      <c r="D628" s="3" t="s">
        <v>43</v>
      </c>
      <c r="E628" s="3" t="s">
        <v>32</v>
      </c>
      <c r="F628" s="3" t="s">
        <v>44</v>
      </c>
      <c r="G628" s="3">
        <v>2016</v>
      </c>
      <c r="H628" s="3" t="str">
        <f>CONCATENATE("64240503827")</f>
        <v>64240503827</v>
      </c>
      <c r="I628" s="3" t="s">
        <v>25</v>
      </c>
      <c r="J628" s="3" t="s">
        <v>26</v>
      </c>
      <c r="K628" s="3" t="str">
        <f t="shared" si="28"/>
        <v/>
      </c>
      <c r="L628" s="3" t="str">
        <f t="shared" si="29"/>
        <v>11 11.2 4b</v>
      </c>
      <c r="M628" s="3" t="str">
        <f>CONCATENATE("PVSMCC84E53D749O")</f>
        <v>PVSMCC84E53D749O</v>
      </c>
      <c r="N628" s="3" t="s">
        <v>741</v>
      </c>
      <c r="O628" s="3"/>
      <c r="P628" s="4">
        <v>42783</v>
      </c>
      <c r="Q628" s="3" t="s">
        <v>27</v>
      </c>
      <c r="R628" s="3" t="s">
        <v>28</v>
      </c>
      <c r="S628" s="3" t="s">
        <v>29</v>
      </c>
      <c r="T628" s="5">
        <v>1678.44</v>
      </c>
      <c r="U628" s="3">
        <v>723.74</v>
      </c>
      <c r="V628" s="3">
        <v>668.35</v>
      </c>
      <c r="W628" s="3">
        <v>286.35000000000002</v>
      </c>
    </row>
    <row r="629" spans="1:23" ht="60.75">
      <c r="A629" s="3" t="s">
        <v>23</v>
      </c>
      <c r="B629" s="3" t="s">
        <v>24</v>
      </c>
      <c r="C629" s="3" t="s">
        <v>35</v>
      </c>
      <c r="D629" s="3" t="s">
        <v>36</v>
      </c>
      <c r="E629" s="3" t="s">
        <v>42</v>
      </c>
      <c r="F629" s="3" t="s">
        <v>42</v>
      </c>
      <c r="G629" s="3">
        <v>2016</v>
      </c>
      <c r="H629" s="3" t="str">
        <f>CONCATENATE("64240603734")</f>
        <v>64240603734</v>
      </c>
      <c r="I629" s="3" t="s">
        <v>25</v>
      </c>
      <c r="J629" s="3" t="s">
        <v>26</v>
      </c>
      <c r="K629" s="3" t="str">
        <f t="shared" si="28"/>
        <v/>
      </c>
      <c r="L629" s="3" t="str">
        <f t="shared" si="29"/>
        <v>11 11.2 4b</v>
      </c>
      <c r="M629" s="3" t="str">
        <f>CONCATENATE("SRCVLT63C47G920W")</f>
        <v>SRCVLT63C47G920W</v>
      </c>
      <c r="N629" s="3" t="s">
        <v>742</v>
      </c>
      <c r="O629" s="3"/>
      <c r="P629" s="4">
        <v>42783</v>
      </c>
      <c r="Q629" s="3" t="s">
        <v>27</v>
      </c>
      <c r="R629" s="3" t="s">
        <v>28</v>
      </c>
      <c r="S629" s="3" t="s">
        <v>29</v>
      </c>
      <c r="T629" s="5">
        <v>3668.01</v>
      </c>
      <c r="U629" s="5">
        <v>1581.65</v>
      </c>
      <c r="V629" s="5">
        <v>1460.6</v>
      </c>
      <c r="W629" s="3">
        <v>625.76</v>
      </c>
    </row>
    <row r="630" spans="1:23" ht="60.75">
      <c r="A630" s="3" t="s">
        <v>23</v>
      </c>
      <c r="B630" s="3" t="s">
        <v>24</v>
      </c>
      <c r="C630" s="3" t="s">
        <v>35</v>
      </c>
      <c r="D630" s="3" t="s">
        <v>43</v>
      </c>
      <c r="E630" s="3" t="s">
        <v>30</v>
      </c>
      <c r="F630" s="3" t="s">
        <v>124</v>
      </c>
      <c r="G630" s="3">
        <v>2016</v>
      </c>
      <c r="H630" s="3" t="str">
        <f>CONCATENATE("64210531980")</f>
        <v>64210531980</v>
      </c>
      <c r="I630" s="3" t="s">
        <v>25</v>
      </c>
      <c r="J630" s="3" t="s">
        <v>26</v>
      </c>
      <c r="K630" s="3" t="str">
        <f t="shared" si="28"/>
        <v/>
      </c>
      <c r="L630" s="3" t="str">
        <f>CONCATENATE("13 13.1 4a")</f>
        <v>13 13.1 4a</v>
      </c>
      <c r="M630" s="3" t="str">
        <f>CONCATENATE("GRSLLN64P65I287V")</f>
        <v>GRSLLN64P65I287V</v>
      </c>
      <c r="N630" s="3" t="s">
        <v>743</v>
      </c>
      <c r="O630" s="3"/>
      <c r="P630" s="4">
        <v>42783</v>
      </c>
      <c r="Q630" s="3" t="s">
        <v>27</v>
      </c>
      <c r="R630" s="3" t="s">
        <v>28</v>
      </c>
      <c r="S630" s="3" t="s">
        <v>29</v>
      </c>
      <c r="T630" s="5">
        <v>1279.3399999999999</v>
      </c>
      <c r="U630" s="3">
        <v>551.65</v>
      </c>
      <c r="V630" s="3">
        <v>509.43</v>
      </c>
      <c r="W630" s="3">
        <v>218.26</v>
      </c>
    </row>
    <row r="631" spans="1:23" ht="36.75">
      <c r="A631" s="3" t="s">
        <v>23</v>
      </c>
      <c r="B631" s="3" t="s">
        <v>24</v>
      </c>
      <c r="C631" s="3" t="s">
        <v>35</v>
      </c>
      <c r="D631" s="3" t="s">
        <v>48</v>
      </c>
      <c r="E631" s="3" t="s">
        <v>30</v>
      </c>
      <c r="F631" s="3" t="s">
        <v>91</v>
      </c>
      <c r="G631" s="3">
        <v>2016</v>
      </c>
      <c r="H631" s="3" t="str">
        <f>CONCATENATE("64240319703")</f>
        <v>64240319703</v>
      </c>
      <c r="I631" s="3" t="s">
        <v>25</v>
      </c>
      <c r="J631" s="3" t="s">
        <v>26</v>
      </c>
      <c r="K631" s="3" t="str">
        <f t="shared" si="28"/>
        <v/>
      </c>
      <c r="L631" s="3" t="str">
        <f>CONCATENATE("11 11.2 4b")</f>
        <v>11 11.2 4b</v>
      </c>
      <c r="M631" s="3" t="str">
        <f>CONCATENATE("01766390437")</f>
        <v>01766390437</v>
      </c>
      <c r="N631" s="3" t="s">
        <v>744</v>
      </c>
      <c r="O631" s="3"/>
      <c r="P631" s="4">
        <v>42783</v>
      </c>
      <c r="Q631" s="3" t="s">
        <v>27</v>
      </c>
      <c r="R631" s="3" t="s">
        <v>28</v>
      </c>
      <c r="S631" s="3" t="s">
        <v>29</v>
      </c>
      <c r="T631" s="5">
        <v>11612.51</v>
      </c>
      <c r="U631" s="5">
        <v>5007.3100000000004</v>
      </c>
      <c r="V631" s="5">
        <v>4624.1000000000004</v>
      </c>
      <c r="W631" s="5">
        <v>1981.1</v>
      </c>
    </row>
    <row r="632" spans="1:23" ht="60.75">
      <c r="A632" s="3" t="s">
        <v>23</v>
      </c>
      <c r="B632" s="3" t="s">
        <v>24</v>
      </c>
      <c r="C632" s="3" t="s">
        <v>35</v>
      </c>
      <c r="D632" s="3" t="s">
        <v>39</v>
      </c>
      <c r="E632" s="3" t="s">
        <v>32</v>
      </c>
      <c r="F632" s="3" t="s">
        <v>355</v>
      </c>
      <c r="G632" s="3">
        <v>2016</v>
      </c>
      <c r="H632" s="3" t="str">
        <f>CONCATENATE("64240588307")</f>
        <v>64240588307</v>
      </c>
      <c r="I632" s="3" t="s">
        <v>31</v>
      </c>
      <c r="J632" s="3" t="s">
        <v>26</v>
      </c>
      <c r="K632" s="3" t="str">
        <f t="shared" si="28"/>
        <v/>
      </c>
      <c r="L632" s="3" t="str">
        <f>CONCATENATE("11 11.1 4b")</f>
        <v>11 11.1 4b</v>
      </c>
      <c r="M632" s="3" t="str">
        <f>CONCATENATE("ZJKKSN87C51G157D")</f>
        <v>ZJKKSN87C51G157D</v>
      </c>
      <c r="N632" s="3" t="s">
        <v>745</v>
      </c>
      <c r="O632" s="3"/>
      <c r="P632" s="4">
        <v>42783</v>
      </c>
      <c r="Q632" s="3" t="s">
        <v>27</v>
      </c>
      <c r="R632" s="3" t="s">
        <v>28</v>
      </c>
      <c r="S632" s="3" t="s">
        <v>29</v>
      </c>
      <c r="T632" s="5">
        <v>2342.61</v>
      </c>
      <c r="U632" s="5">
        <v>1010.13</v>
      </c>
      <c r="V632" s="3">
        <v>932.83</v>
      </c>
      <c r="W632" s="3">
        <v>399.65</v>
      </c>
    </row>
    <row r="633" spans="1:23" ht="60.75">
      <c r="A633" s="3" t="s">
        <v>23</v>
      </c>
      <c r="B633" s="3" t="s">
        <v>24</v>
      </c>
      <c r="C633" s="3" t="s">
        <v>35</v>
      </c>
      <c r="D633" s="3" t="s">
        <v>36</v>
      </c>
      <c r="E633" s="3" t="s">
        <v>42</v>
      </c>
      <c r="F633" s="3" t="s">
        <v>42</v>
      </c>
      <c r="G633" s="3">
        <v>2016</v>
      </c>
      <c r="H633" s="3" t="str">
        <f>CONCATENATE("64240598603")</f>
        <v>64240598603</v>
      </c>
      <c r="I633" s="3" t="s">
        <v>25</v>
      </c>
      <c r="J633" s="3" t="s">
        <v>26</v>
      </c>
      <c r="K633" s="3" t="str">
        <f t="shared" si="28"/>
        <v/>
      </c>
      <c r="L633" s="3" t="str">
        <f>CONCATENATE("11 11.1 4b")</f>
        <v>11 11.1 4b</v>
      </c>
      <c r="M633" s="3" t="str">
        <f>CONCATENATE("MBLGNI52S07G005R")</f>
        <v>MBLGNI52S07G005R</v>
      </c>
      <c r="N633" s="3" t="s">
        <v>746</v>
      </c>
      <c r="O633" s="3"/>
      <c r="P633" s="4">
        <v>42783</v>
      </c>
      <c r="Q633" s="3" t="s">
        <v>27</v>
      </c>
      <c r="R633" s="3" t="s">
        <v>28</v>
      </c>
      <c r="S633" s="3" t="s">
        <v>29</v>
      </c>
      <c r="T633" s="5">
        <v>3755.16</v>
      </c>
      <c r="U633" s="5">
        <v>1619.22</v>
      </c>
      <c r="V633" s="5">
        <v>1495.3</v>
      </c>
      <c r="W633" s="3">
        <v>640.64</v>
      </c>
    </row>
    <row r="634" spans="1:23" ht="60.75">
      <c r="A634" s="3" t="s">
        <v>23</v>
      </c>
      <c r="B634" s="3" t="s">
        <v>24</v>
      </c>
      <c r="C634" s="3" t="s">
        <v>35</v>
      </c>
      <c r="D634" s="3" t="s">
        <v>36</v>
      </c>
      <c r="E634" s="3" t="s">
        <v>32</v>
      </c>
      <c r="F634" s="3" t="s">
        <v>208</v>
      </c>
      <c r="G634" s="3">
        <v>2016</v>
      </c>
      <c r="H634" s="3" t="str">
        <f>CONCATENATE("64240283883")</f>
        <v>64240283883</v>
      </c>
      <c r="I634" s="3" t="s">
        <v>25</v>
      </c>
      <c r="J634" s="3" t="s">
        <v>26</v>
      </c>
      <c r="K634" s="3" t="str">
        <f t="shared" si="28"/>
        <v/>
      </c>
      <c r="L634" s="3" t="str">
        <f>CONCATENATE("11 11.2 4b")</f>
        <v>11 11.2 4b</v>
      </c>
      <c r="M634" s="3" t="str">
        <f>CONCATENATE("BLDMRA52M50B727K")</f>
        <v>BLDMRA52M50B727K</v>
      </c>
      <c r="N634" s="3" t="s">
        <v>747</v>
      </c>
      <c r="O634" s="3"/>
      <c r="P634" s="4">
        <v>42783</v>
      </c>
      <c r="Q634" s="3" t="s">
        <v>27</v>
      </c>
      <c r="R634" s="3" t="s">
        <v>28</v>
      </c>
      <c r="S634" s="3" t="s">
        <v>29</v>
      </c>
      <c r="T634" s="5">
        <v>1283.96</v>
      </c>
      <c r="U634" s="3">
        <v>553.64</v>
      </c>
      <c r="V634" s="3">
        <v>511.27</v>
      </c>
      <c r="W634" s="3">
        <v>219.05</v>
      </c>
    </row>
    <row r="635" spans="1:23" ht="36.75">
      <c r="A635" s="3" t="s">
        <v>23</v>
      </c>
      <c r="B635" s="3" t="s">
        <v>24</v>
      </c>
      <c r="C635" s="3" t="s">
        <v>35</v>
      </c>
      <c r="D635" s="3" t="s">
        <v>39</v>
      </c>
      <c r="E635" s="3" t="s">
        <v>30</v>
      </c>
      <c r="F635" s="3" t="s">
        <v>40</v>
      </c>
      <c r="G635" s="3">
        <v>2016</v>
      </c>
      <c r="H635" s="3" t="str">
        <f>CONCATENATE("64240531521")</f>
        <v>64240531521</v>
      </c>
      <c r="I635" s="3" t="s">
        <v>25</v>
      </c>
      <c r="J635" s="3" t="s">
        <v>26</v>
      </c>
      <c r="K635" s="3" t="str">
        <f t="shared" si="28"/>
        <v/>
      </c>
      <c r="L635" s="3" t="str">
        <f>CONCATENATE("11 11.2 4b")</f>
        <v>11 11.2 4b</v>
      </c>
      <c r="M635" s="3" t="str">
        <f>CONCATENATE("02150060420")</f>
        <v>02150060420</v>
      </c>
      <c r="N635" s="3" t="s">
        <v>748</v>
      </c>
      <c r="O635" s="3"/>
      <c r="P635" s="4">
        <v>42783</v>
      </c>
      <c r="Q635" s="3" t="s">
        <v>27</v>
      </c>
      <c r="R635" s="3" t="s">
        <v>28</v>
      </c>
      <c r="S635" s="3" t="s">
        <v>29</v>
      </c>
      <c r="T635" s="5">
        <v>15752.97</v>
      </c>
      <c r="U635" s="5">
        <v>6792.68</v>
      </c>
      <c r="V635" s="5">
        <v>6272.83</v>
      </c>
      <c r="W635" s="5">
        <v>2687.46</v>
      </c>
    </row>
    <row r="636" spans="1:23" ht="60.75">
      <c r="A636" s="3" t="s">
        <v>23</v>
      </c>
      <c r="B636" s="3" t="s">
        <v>24</v>
      </c>
      <c r="C636" s="3" t="s">
        <v>35</v>
      </c>
      <c r="D636" s="3" t="s">
        <v>36</v>
      </c>
      <c r="E636" s="3" t="s">
        <v>59</v>
      </c>
      <c r="F636" s="3" t="s">
        <v>62</v>
      </c>
      <c r="G636" s="3">
        <v>2016</v>
      </c>
      <c r="H636" s="3" t="str">
        <f>CONCATENATE("64240325734")</f>
        <v>64240325734</v>
      </c>
      <c r="I636" s="3" t="s">
        <v>25</v>
      </c>
      <c r="J636" s="3" t="s">
        <v>26</v>
      </c>
      <c r="K636" s="3" t="str">
        <f t="shared" si="28"/>
        <v/>
      </c>
      <c r="L636" s="3" t="str">
        <f>CONCATENATE("11 11.2 4b")</f>
        <v>11 11.2 4b</v>
      </c>
      <c r="M636" s="3" t="str">
        <f>CONCATENATE("VGNGRL57H04C321O")</f>
        <v>VGNGRL57H04C321O</v>
      </c>
      <c r="N636" s="3" t="s">
        <v>749</v>
      </c>
      <c r="O636" s="3"/>
      <c r="P636" s="4">
        <v>42783</v>
      </c>
      <c r="Q636" s="3" t="s">
        <v>27</v>
      </c>
      <c r="R636" s="3" t="s">
        <v>28</v>
      </c>
      <c r="S636" s="3" t="s">
        <v>29</v>
      </c>
      <c r="T636" s="5">
        <v>2798.14</v>
      </c>
      <c r="U636" s="5">
        <v>1206.56</v>
      </c>
      <c r="V636" s="5">
        <v>1114.22</v>
      </c>
      <c r="W636" s="3">
        <v>477.36</v>
      </c>
    </row>
    <row r="637" spans="1:23" ht="72.75">
      <c r="A637" s="3" t="s">
        <v>23</v>
      </c>
      <c r="B637" s="3" t="s">
        <v>24</v>
      </c>
      <c r="C637" s="3" t="s">
        <v>35</v>
      </c>
      <c r="D637" s="3" t="s">
        <v>36</v>
      </c>
      <c r="E637" s="3" t="s">
        <v>42</v>
      </c>
      <c r="F637" s="3" t="s">
        <v>42</v>
      </c>
      <c r="G637" s="3">
        <v>2016</v>
      </c>
      <c r="H637" s="3" t="str">
        <f>CONCATENATE("64240091872")</f>
        <v>64240091872</v>
      </c>
      <c r="I637" s="3" t="s">
        <v>25</v>
      </c>
      <c r="J637" s="3" t="s">
        <v>26</v>
      </c>
      <c r="K637" s="3" t="str">
        <f t="shared" si="28"/>
        <v/>
      </c>
      <c r="L637" s="3" t="str">
        <f>CONCATENATE("11 11.2 4b")</f>
        <v>11 11.2 4b</v>
      </c>
      <c r="M637" s="3" t="str">
        <f>CONCATENATE("CRBMRN39S18H321P")</f>
        <v>CRBMRN39S18H321P</v>
      </c>
      <c r="N637" s="3" t="s">
        <v>750</v>
      </c>
      <c r="O637" s="3"/>
      <c r="P637" s="4">
        <v>42783</v>
      </c>
      <c r="Q637" s="3" t="s">
        <v>27</v>
      </c>
      <c r="R637" s="3" t="s">
        <v>28</v>
      </c>
      <c r="S637" s="3" t="s">
        <v>29</v>
      </c>
      <c r="T637" s="5">
        <v>1040.21</v>
      </c>
      <c r="U637" s="3">
        <v>448.54</v>
      </c>
      <c r="V637" s="3">
        <v>414.21</v>
      </c>
      <c r="W637" s="3">
        <v>177.46</v>
      </c>
    </row>
    <row r="638" spans="1:23" ht="48.75">
      <c r="A638" s="3" t="s">
        <v>23</v>
      </c>
      <c r="B638" s="3" t="s">
        <v>24</v>
      </c>
      <c r="C638" s="3" t="s">
        <v>35</v>
      </c>
      <c r="D638" s="3" t="s">
        <v>39</v>
      </c>
      <c r="E638" s="3" t="s">
        <v>30</v>
      </c>
      <c r="F638" s="3" t="s">
        <v>84</v>
      </c>
      <c r="G638" s="3">
        <v>2016</v>
      </c>
      <c r="H638" s="3" t="str">
        <f>CONCATENATE("64240249926")</f>
        <v>64240249926</v>
      </c>
      <c r="I638" s="3" t="s">
        <v>25</v>
      </c>
      <c r="J638" s="3" t="s">
        <v>26</v>
      </c>
      <c r="K638" s="3" t="str">
        <f t="shared" si="28"/>
        <v/>
      </c>
      <c r="L638" s="3" t="str">
        <f>CONCATENATE("11 11.1 4b")</f>
        <v>11 11.1 4b</v>
      </c>
      <c r="M638" s="3" t="str">
        <f>CONCATENATE("CCLBSL62E04I608I")</f>
        <v>CCLBSL62E04I608I</v>
      </c>
      <c r="N638" s="3" t="s">
        <v>751</v>
      </c>
      <c r="O638" s="3"/>
      <c r="P638" s="4">
        <v>42783</v>
      </c>
      <c r="Q638" s="3" t="s">
        <v>27</v>
      </c>
      <c r="R638" s="3" t="s">
        <v>28</v>
      </c>
      <c r="S638" s="3" t="s">
        <v>29</v>
      </c>
      <c r="T638" s="5">
        <v>1671.18</v>
      </c>
      <c r="U638" s="3">
        <v>720.61</v>
      </c>
      <c r="V638" s="3">
        <v>665.46</v>
      </c>
      <c r="W638" s="3">
        <v>285.11</v>
      </c>
    </row>
    <row r="639" spans="1:23" ht="60.75">
      <c r="A639" s="3" t="s">
        <v>23</v>
      </c>
      <c r="B639" s="3" t="s">
        <v>24</v>
      </c>
      <c r="C639" s="3" t="s">
        <v>35</v>
      </c>
      <c r="D639" s="3" t="s">
        <v>39</v>
      </c>
      <c r="E639" s="3" t="s">
        <v>32</v>
      </c>
      <c r="F639" s="3" t="s">
        <v>69</v>
      </c>
      <c r="G639" s="3">
        <v>2016</v>
      </c>
      <c r="H639" s="3" t="str">
        <f>CONCATENATE("64240503215")</f>
        <v>64240503215</v>
      </c>
      <c r="I639" s="3" t="s">
        <v>25</v>
      </c>
      <c r="J639" s="3" t="s">
        <v>26</v>
      </c>
      <c r="K639" s="3" t="str">
        <f t="shared" si="28"/>
        <v/>
      </c>
      <c r="L639" s="3" t="str">
        <f>CONCATENATE("11 11.2 4b")</f>
        <v>11 11.2 4b</v>
      </c>
      <c r="M639" s="3" t="str">
        <f>CONCATENATE("CRCSRH57D53Z110W")</f>
        <v>CRCSRH57D53Z110W</v>
      </c>
      <c r="N639" s="3" t="s">
        <v>752</v>
      </c>
      <c r="O639" s="3"/>
      <c r="P639" s="4">
        <v>42783</v>
      </c>
      <c r="Q639" s="3" t="s">
        <v>27</v>
      </c>
      <c r="R639" s="3" t="s">
        <v>28</v>
      </c>
      <c r="S639" s="3" t="s">
        <v>29</v>
      </c>
      <c r="T639" s="5">
        <v>2012.87</v>
      </c>
      <c r="U639" s="3">
        <v>867.95</v>
      </c>
      <c r="V639" s="3">
        <v>801.52</v>
      </c>
      <c r="W639" s="3">
        <v>343.4</v>
      </c>
    </row>
    <row r="640" spans="1:23" ht="60.75">
      <c r="A640" s="3" t="s">
        <v>23</v>
      </c>
      <c r="B640" s="3" t="s">
        <v>24</v>
      </c>
      <c r="C640" s="3" t="s">
        <v>35</v>
      </c>
      <c r="D640" s="3" t="s">
        <v>36</v>
      </c>
      <c r="E640" s="3" t="s">
        <v>42</v>
      </c>
      <c r="F640" s="3" t="s">
        <v>42</v>
      </c>
      <c r="G640" s="3">
        <v>2016</v>
      </c>
      <c r="H640" s="3" t="str">
        <f>CONCATENATE("64240091047")</f>
        <v>64240091047</v>
      </c>
      <c r="I640" s="3" t="s">
        <v>25</v>
      </c>
      <c r="J640" s="3" t="s">
        <v>26</v>
      </c>
      <c r="K640" s="3" t="str">
        <f t="shared" si="28"/>
        <v/>
      </c>
      <c r="L640" s="3" t="str">
        <f>CONCATENATE("11 11.2 4b")</f>
        <v>11 11.2 4b</v>
      </c>
      <c r="M640" s="3" t="str">
        <f>CONCATENATE("VGNLVE64C30H321B")</f>
        <v>VGNLVE64C30H321B</v>
      </c>
      <c r="N640" s="3" t="s">
        <v>753</v>
      </c>
      <c r="O640" s="3"/>
      <c r="P640" s="4">
        <v>42783</v>
      </c>
      <c r="Q640" s="3" t="s">
        <v>27</v>
      </c>
      <c r="R640" s="3" t="s">
        <v>28</v>
      </c>
      <c r="S640" s="3" t="s">
        <v>29</v>
      </c>
      <c r="T640" s="5">
        <v>2287.4899999999998</v>
      </c>
      <c r="U640" s="3">
        <v>986.37</v>
      </c>
      <c r="V640" s="3">
        <v>910.88</v>
      </c>
      <c r="W640" s="3">
        <v>390.24</v>
      </c>
    </row>
    <row r="641" spans="1:23" ht="72.75">
      <c r="A641" s="3" t="s">
        <v>23</v>
      </c>
      <c r="B641" s="3" t="s">
        <v>24</v>
      </c>
      <c r="C641" s="3" t="s">
        <v>35</v>
      </c>
      <c r="D641" s="3" t="s">
        <v>48</v>
      </c>
      <c r="E641" s="3" t="s">
        <v>30</v>
      </c>
      <c r="F641" s="3" t="s">
        <v>57</v>
      </c>
      <c r="G641" s="3">
        <v>2016</v>
      </c>
      <c r="H641" s="3" t="str">
        <f>CONCATENATE("64240393880")</f>
        <v>64240393880</v>
      </c>
      <c r="I641" s="3" t="s">
        <v>25</v>
      </c>
      <c r="J641" s="3" t="s">
        <v>26</v>
      </c>
      <c r="K641" s="3" t="str">
        <f t="shared" si="28"/>
        <v/>
      </c>
      <c r="L641" s="3" t="str">
        <f>CONCATENATE("11 11.1 4b")</f>
        <v>11 11.1 4b</v>
      </c>
      <c r="M641" s="3" t="str">
        <f>CONCATENATE("GTTMTT94R16B474M")</f>
        <v>GTTMTT94R16B474M</v>
      </c>
      <c r="N641" s="3" t="s">
        <v>754</v>
      </c>
      <c r="O641" s="3"/>
      <c r="P641" s="4">
        <v>42783</v>
      </c>
      <c r="Q641" s="3" t="s">
        <v>27</v>
      </c>
      <c r="R641" s="3" t="s">
        <v>28</v>
      </c>
      <c r="S641" s="3" t="s">
        <v>29</v>
      </c>
      <c r="T641" s="3">
        <v>745.16</v>
      </c>
      <c r="U641" s="3">
        <v>321.31</v>
      </c>
      <c r="V641" s="3">
        <v>296.72000000000003</v>
      </c>
      <c r="W641" s="3">
        <v>127.13</v>
      </c>
    </row>
    <row r="642" spans="1:23" ht="60.75">
      <c r="A642" s="3" t="s">
        <v>23</v>
      </c>
      <c r="B642" s="3" t="s">
        <v>24</v>
      </c>
      <c r="C642" s="3" t="s">
        <v>35</v>
      </c>
      <c r="D642" s="3" t="s">
        <v>48</v>
      </c>
      <c r="E642" s="3" t="s">
        <v>30</v>
      </c>
      <c r="F642" s="3" t="s">
        <v>84</v>
      </c>
      <c r="G642" s="3">
        <v>2016</v>
      </c>
      <c r="H642" s="3" t="str">
        <f>CONCATENATE("64240916912")</f>
        <v>64240916912</v>
      </c>
      <c r="I642" s="3" t="s">
        <v>25</v>
      </c>
      <c r="J642" s="3" t="s">
        <v>26</v>
      </c>
      <c r="K642" s="3" t="str">
        <f t="shared" si="28"/>
        <v/>
      </c>
      <c r="L642" s="3" t="str">
        <f>CONCATENATE("11 11.2 4b")</f>
        <v>11 11.2 4b</v>
      </c>
      <c r="M642" s="3" t="str">
        <f>CONCATENATE("TRRMCS74H52D451J")</f>
        <v>TRRMCS74H52D451J</v>
      </c>
      <c r="N642" s="3" t="s">
        <v>755</v>
      </c>
      <c r="O642" s="3"/>
      <c r="P642" s="4">
        <v>42783</v>
      </c>
      <c r="Q642" s="3" t="s">
        <v>27</v>
      </c>
      <c r="R642" s="3" t="s">
        <v>28</v>
      </c>
      <c r="S642" s="3" t="s">
        <v>29</v>
      </c>
      <c r="T642" s="3">
        <v>553.20000000000005</v>
      </c>
      <c r="U642" s="3">
        <v>238.54</v>
      </c>
      <c r="V642" s="3">
        <v>220.28</v>
      </c>
      <c r="W642" s="3">
        <v>94.38</v>
      </c>
    </row>
    <row r="643" spans="1:23" ht="60.75">
      <c r="A643" s="3" t="s">
        <v>23</v>
      </c>
      <c r="B643" s="3" t="s">
        <v>24</v>
      </c>
      <c r="C643" s="3" t="s">
        <v>35</v>
      </c>
      <c r="D643" s="3" t="s">
        <v>36</v>
      </c>
      <c r="E643" s="3" t="s">
        <v>34</v>
      </c>
      <c r="F643" s="3" t="s">
        <v>273</v>
      </c>
      <c r="G643" s="3">
        <v>2016</v>
      </c>
      <c r="H643" s="3" t="str">
        <f>CONCATENATE("64240291902")</f>
        <v>64240291902</v>
      </c>
      <c r="I643" s="3" t="s">
        <v>25</v>
      </c>
      <c r="J643" s="3" t="s">
        <v>26</v>
      </c>
      <c r="K643" s="3" t="str">
        <f t="shared" si="28"/>
        <v/>
      </c>
      <c r="L643" s="3" t="str">
        <f>CONCATENATE("11 11.2 4b")</f>
        <v>11 11.2 4b</v>
      </c>
      <c r="M643" s="3" t="str">
        <f>CONCATENATE("NGLLDA64A12F520R")</f>
        <v>NGLLDA64A12F520R</v>
      </c>
      <c r="N643" s="3" t="s">
        <v>756</v>
      </c>
      <c r="O643" s="3"/>
      <c r="P643" s="4">
        <v>42783</v>
      </c>
      <c r="Q643" s="3" t="s">
        <v>27</v>
      </c>
      <c r="R643" s="3" t="s">
        <v>28</v>
      </c>
      <c r="S643" s="3" t="s">
        <v>29</v>
      </c>
      <c r="T643" s="5">
        <v>2473.29</v>
      </c>
      <c r="U643" s="5">
        <v>1066.48</v>
      </c>
      <c r="V643" s="3">
        <v>984.86</v>
      </c>
      <c r="W643" s="3">
        <v>421.95</v>
      </c>
    </row>
    <row r="644" spans="1:23" ht="60.75">
      <c r="A644" s="3" t="s">
        <v>23</v>
      </c>
      <c r="B644" s="3" t="s">
        <v>24</v>
      </c>
      <c r="C644" s="3" t="s">
        <v>35</v>
      </c>
      <c r="D644" s="3" t="s">
        <v>43</v>
      </c>
      <c r="E644" s="3" t="s">
        <v>30</v>
      </c>
      <c r="F644" s="3" t="s">
        <v>131</v>
      </c>
      <c r="G644" s="3">
        <v>2016</v>
      </c>
      <c r="H644" s="3" t="str">
        <f>CONCATENATE("64240773883")</f>
        <v>64240773883</v>
      </c>
      <c r="I644" s="3" t="s">
        <v>25</v>
      </c>
      <c r="J644" s="3" t="s">
        <v>26</v>
      </c>
      <c r="K644" s="3" t="str">
        <f t="shared" si="28"/>
        <v/>
      </c>
      <c r="L644" s="3" t="str">
        <f>CONCATENATE("11 11.2 4b")</f>
        <v>11 11.2 4b</v>
      </c>
      <c r="M644" s="3" t="str">
        <f>CONCATENATE("BRTMRS54R50D749P")</f>
        <v>BRTMRS54R50D749P</v>
      </c>
      <c r="N644" s="3" t="s">
        <v>757</v>
      </c>
      <c r="O644" s="3"/>
      <c r="P644" s="4">
        <v>42783</v>
      </c>
      <c r="Q644" s="3" t="s">
        <v>27</v>
      </c>
      <c r="R644" s="3" t="s">
        <v>28</v>
      </c>
      <c r="S644" s="3" t="s">
        <v>29</v>
      </c>
      <c r="T644" s="3">
        <v>909.81</v>
      </c>
      <c r="U644" s="3">
        <v>392.31</v>
      </c>
      <c r="V644" s="3">
        <v>362.29</v>
      </c>
      <c r="W644" s="3">
        <v>155.21</v>
      </c>
    </row>
    <row r="645" spans="1:23" ht="36.75">
      <c r="A645" s="3" t="s">
        <v>23</v>
      </c>
      <c r="B645" s="3" t="s">
        <v>24</v>
      </c>
      <c r="C645" s="3" t="s">
        <v>35</v>
      </c>
      <c r="D645" s="3" t="s">
        <v>48</v>
      </c>
      <c r="E645" s="3" t="s">
        <v>42</v>
      </c>
      <c r="F645" s="3" t="s">
        <v>42</v>
      </c>
      <c r="G645" s="3">
        <v>2016</v>
      </c>
      <c r="H645" s="3" t="str">
        <f>CONCATENATE("64240916201")</f>
        <v>64240916201</v>
      </c>
      <c r="I645" s="3" t="s">
        <v>25</v>
      </c>
      <c r="J645" s="3" t="s">
        <v>26</v>
      </c>
      <c r="K645" s="3" t="str">
        <f t="shared" si="28"/>
        <v/>
      </c>
      <c r="L645" s="3" t="str">
        <f>CONCATENATE("11 11.1 4b")</f>
        <v>11 11.1 4b</v>
      </c>
      <c r="M645" s="3" t="str">
        <f>CONCATENATE("01806130439")</f>
        <v>01806130439</v>
      </c>
      <c r="N645" s="3" t="s">
        <v>758</v>
      </c>
      <c r="O645" s="3"/>
      <c r="P645" s="4">
        <v>42783</v>
      </c>
      <c r="Q645" s="3" t="s">
        <v>27</v>
      </c>
      <c r="R645" s="3" t="s">
        <v>28</v>
      </c>
      <c r="S645" s="3" t="s">
        <v>29</v>
      </c>
      <c r="T645" s="5">
        <v>7172.2</v>
      </c>
      <c r="U645" s="5">
        <v>3092.65</v>
      </c>
      <c r="V645" s="5">
        <v>2855.97</v>
      </c>
      <c r="W645" s="5">
        <v>1223.58</v>
      </c>
    </row>
    <row r="646" spans="1:23" ht="36.75">
      <c r="A646" s="3" t="s">
        <v>23</v>
      </c>
      <c r="B646" s="3" t="s">
        <v>24</v>
      </c>
      <c r="C646" s="3" t="s">
        <v>35</v>
      </c>
      <c r="D646" s="3" t="s">
        <v>43</v>
      </c>
      <c r="E646" s="3" t="s">
        <v>30</v>
      </c>
      <c r="F646" s="3" t="s">
        <v>76</v>
      </c>
      <c r="G646" s="3">
        <v>2016</v>
      </c>
      <c r="H646" s="3" t="str">
        <f>CONCATENATE("64240391090")</f>
        <v>64240391090</v>
      </c>
      <c r="I646" s="3" t="s">
        <v>25</v>
      </c>
      <c r="J646" s="3" t="s">
        <v>26</v>
      </c>
      <c r="K646" s="3" t="str">
        <f t="shared" si="28"/>
        <v/>
      </c>
      <c r="L646" s="3" t="str">
        <f>CONCATENATE("11 11.1 4b")</f>
        <v>11 11.1 4b</v>
      </c>
      <c r="M646" s="3" t="str">
        <f>CONCATENATE("02607030414")</f>
        <v>02607030414</v>
      </c>
      <c r="N646" s="3" t="s">
        <v>134</v>
      </c>
      <c r="O646" s="3"/>
      <c r="P646" s="4">
        <v>42783</v>
      </c>
      <c r="Q646" s="3" t="s">
        <v>27</v>
      </c>
      <c r="R646" s="3" t="s">
        <v>28</v>
      </c>
      <c r="S646" s="3" t="s">
        <v>29</v>
      </c>
      <c r="T646" s="5">
        <v>5417.44</v>
      </c>
      <c r="U646" s="5">
        <v>2336</v>
      </c>
      <c r="V646" s="5">
        <v>2157.2199999999998</v>
      </c>
      <c r="W646" s="3">
        <v>924.22</v>
      </c>
    </row>
    <row r="647" spans="1:23" ht="60.75">
      <c r="A647" s="3" t="s">
        <v>23</v>
      </c>
      <c r="B647" s="3" t="s">
        <v>24</v>
      </c>
      <c r="C647" s="3" t="s">
        <v>35</v>
      </c>
      <c r="D647" s="3" t="s">
        <v>43</v>
      </c>
      <c r="E647" s="3" t="s">
        <v>30</v>
      </c>
      <c r="F647" s="3" t="s">
        <v>104</v>
      </c>
      <c r="G647" s="3">
        <v>2016</v>
      </c>
      <c r="H647" s="3" t="str">
        <f>CONCATENATE("64240217527")</f>
        <v>64240217527</v>
      </c>
      <c r="I647" s="3" t="s">
        <v>25</v>
      </c>
      <c r="J647" s="3" t="s">
        <v>26</v>
      </c>
      <c r="K647" s="3" t="str">
        <f t="shared" si="28"/>
        <v/>
      </c>
      <c r="L647" s="3" t="str">
        <f>CONCATENATE("11 11.2 4b")</f>
        <v>11 11.2 4b</v>
      </c>
      <c r="M647" s="3" t="str">
        <f>CONCATENATE("MNGRGL55P02L500K")</f>
        <v>MNGRGL55P02L500K</v>
      </c>
      <c r="N647" s="3" t="s">
        <v>105</v>
      </c>
      <c r="O647" s="3"/>
      <c r="P647" s="4">
        <v>42783</v>
      </c>
      <c r="Q647" s="3" t="s">
        <v>27</v>
      </c>
      <c r="R647" s="3" t="s">
        <v>28</v>
      </c>
      <c r="S647" s="3" t="s">
        <v>29</v>
      </c>
      <c r="T647" s="5">
        <v>10572.76</v>
      </c>
      <c r="U647" s="5">
        <v>4558.97</v>
      </c>
      <c r="V647" s="5">
        <v>4210.07</v>
      </c>
      <c r="W647" s="5">
        <v>1803.72</v>
      </c>
    </row>
    <row r="648" spans="1:23" ht="36.75">
      <c r="A648" s="3" t="s">
        <v>23</v>
      </c>
      <c r="B648" s="3" t="s">
        <v>24</v>
      </c>
      <c r="C648" s="3" t="s">
        <v>35</v>
      </c>
      <c r="D648" s="3" t="s">
        <v>36</v>
      </c>
      <c r="E648" s="3" t="s">
        <v>59</v>
      </c>
      <c r="F648" s="3" t="s">
        <v>62</v>
      </c>
      <c r="G648" s="3">
        <v>2016</v>
      </c>
      <c r="H648" s="3" t="str">
        <f>CONCATENATE("64240217824")</f>
        <v>64240217824</v>
      </c>
      <c r="I648" s="3" t="s">
        <v>25</v>
      </c>
      <c r="J648" s="3" t="s">
        <v>26</v>
      </c>
      <c r="K648" s="3" t="str">
        <f t="shared" si="28"/>
        <v/>
      </c>
      <c r="L648" s="3" t="str">
        <f>CONCATENATE("11 11.2 4b")</f>
        <v>11 11.2 4b</v>
      </c>
      <c r="M648" s="3" t="str">
        <f>CONCATENATE("01793100445")</f>
        <v>01793100445</v>
      </c>
      <c r="N648" s="3" t="s">
        <v>759</v>
      </c>
      <c r="O648" s="3"/>
      <c r="P648" s="4">
        <v>42783</v>
      </c>
      <c r="Q648" s="3" t="s">
        <v>27</v>
      </c>
      <c r="R648" s="3" t="s">
        <v>28</v>
      </c>
      <c r="S648" s="3" t="s">
        <v>29</v>
      </c>
      <c r="T648" s="5">
        <v>16133.48</v>
      </c>
      <c r="U648" s="5">
        <v>6956.76</v>
      </c>
      <c r="V648" s="5">
        <v>6424.35</v>
      </c>
      <c r="W648" s="5">
        <v>2752.37</v>
      </c>
    </row>
    <row r="649" spans="1:23" ht="60.75">
      <c r="A649" s="3" t="s">
        <v>23</v>
      </c>
      <c r="B649" s="3" t="s">
        <v>24</v>
      </c>
      <c r="C649" s="3" t="s">
        <v>35</v>
      </c>
      <c r="D649" s="3" t="s">
        <v>36</v>
      </c>
      <c r="E649" s="3" t="s">
        <v>30</v>
      </c>
      <c r="F649" s="3" t="s">
        <v>257</v>
      </c>
      <c r="G649" s="3">
        <v>2016</v>
      </c>
      <c r="H649" s="3" t="str">
        <f>CONCATENATE("64240394060")</f>
        <v>64240394060</v>
      </c>
      <c r="I649" s="3" t="s">
        <v>25</v>
      </c>
      <c r="J649" s="3" t="s">
        <v>26</v>
      </c>
      <c r="K649" s="3" t="str">
        <f t="shared" si="28"/>
        <v/>
      </c>
      <c r="L649" s="3" t="str">
        <f>CONCATENATE("11 11.2 4b")</f>
        <v>11 11.2 4b</v>
      </c>
      <c r="M649" s="3" t="str">
        <f>CONCATENATE("VSPMPL66A42D542J")</f>
        <v>VSPMPL66A42D542J</v>
      </c>
      <c r="N649" s="3" t="s">
        <v>760</v>
      </c>
      <c r="O649" s="3"/>
      <c r="P649" s="4">
        <v>42783</v>
      </c>
      <c r="Q649" s="3" t="s">
        <v>27</v>
      </c>
      <c r="R649" s="3" t="s">
        <v>28</v>
      </c>
      <c r="S649" s="3" t="s">
        <v>29</v>
      </c>
      <c r="T649" s="3">
        <v>598.47</v>
      </c>
      <c r="U649" s="3">
        <v>258.06</v>
      </c>
      <c r="V649" s="3">
        <v>238.31</v>
      </c>
      <c r="W649" s="3">
        <v>102.1</v>
      </c>
    </row>
    <row r="650" spans="1:23" ht="60.75">
      <c r="A650" s="3" t="s">
        <v>23</v>
      </c>
      <c r="B650" s="3" t="s">
        <v>24</v>
      </c>
      <c r="C650" s="3" t="s">
        <v>35</v>
      </c>
      <c r="D650" s="3" t="s">
        <v>43</v>
      </c>
      <c r="E650" s="3" t="s">
        <v>100</v>
      </c>
      <c r="F650" s="3" t="s">
        <v>101</v>
      </c>
      <c r="G650" s="3">
        <v>2016</v>
      </c>
      <c r="H650" s="3" t="str">
        <f>CONCATENATE("64210709602")</f>
        <v>64210709602</v>
      </c>
      <c r="I650" s="3" t="s">
        <v>25</v>
      </c>
      <c r="J650" s="3" t="s">
        <v>26</v>
      </c>
      <c r="K650" s="3" t="str">
        <f t="shared" si="28"/>
        <v/>
      </c>
      <c r="L650" s="3" t="str">
        <f>CONCATENATE("13 13.1 4a")</f>
        <v>13 13.1 4a</v>
      </c>
      <c r="M650" s="3" t="str">
        <f>CONCATENATE("CCCCNZ73H53Z130H")</f>
        <v>CCCCNZ73H53Z130H</v>
      </c>
      <c r="N650" s="3" t="s">
        <v>761</v>
      </c>
      <c r="O650" s="3"/>
      <c r="P650" s="4">
        <v>42783</v>
      </c>
      <c r="Q650" s="3" t="s">
        <v>27</v>
      </c>
      <c r="R650" s="3" t="s">
        <v>28</v>
      </c>
      <c r="S650" s="3" t="s">
        <v>29</v>
      </c>
      <c r="T650" s="5">
        <v>2296.56</v>
      </c>
      <c r="U650" s="3">
        <v>990.28</v>
      </c>
      <c r="V650" s="3">
        <v>914.49</v>
      </c>
      <c r="W650" s="3">
        <v>391.79</v>
      </c>
    </row>
    <row r="651" spans="1:23" ht="60.75">
      <c r="A651" s="3" t="s">
        <v>23</v>
      </c>
      <c r="B651" s="3" t="s">
        <v>24</v>
      </c>
      <c r="C651" s="3" t="s">
        <v>35</v>
      </c>
      <c r="D651" s="3" t="s">
        <v>43</v>
      </c>
      <c r="E651" s="3" t="s">
        <v>30</v>
      </c>
      <c r="F651" s="3" t="s">
        <v>124</v>
      </c>
      <c r="G651" s="3">
        <v>2016</v>
      </c>
      <c r="H651" s="3" t="str">
        <f>CONCATENATE("64240596235")</f>
        <v>64240596235</v>
      </c>
      <c r="I651" s="3" t="s">
        <v>25</v>
      </c>
      <c r="J651" s="3" t="s">
        <v>26</v>
      </c>
      <c r="K651" s="3" t="str">
        <f t="shared" si="28"/>
        <v/>
      </c>
      <c r="L651" s="3" t="str">
        <f>CONCATENATE("11 11.2 4b")</f>
        <v>11 11.2 4b</v>
      </c>
      <c r="M651" s="3" t="str">
        <f>CONCATENATE("GRRMSM69C15F135K")</f>
        <v>GRRMSM69C15F135K</v>
      </c>
      <c r="N651" s="3" t="s">
        <v>610</v>
      </c>
      <c r="O651" s="3"/>
      <c r="P651" s="4">
        <v>42783</v>
      </c>
      <c r="Q651" s="3" t="s">
        <v>27</v>
      </c>
      <c r="R651" s="3" t="s">
        <v>28</v>
      </c>
      <c r="S651" s="3" t="s">
        <v>29</v>
      </c>
      <c r="T651" s="5">
        <v>4946.3900000000003</v>
      </c>
      <c r="U651" s="5">
        <v>2132.88</v>
      </c>
      <c r="V651" s="5">
        <v>1969.65</v>
      </c>
      <c r="W651" s="3">
        <v>843.86</v>
      </c>
    </row>
    <row r="652" spans="1:23" ht="60.75">
      <c r="A652" s="3" t="s">
        <v>23</v>
      </c>
      <c r="B652" s="3" t="s">
        <v>24</v>
      </c>
      <c r="C652" s="3" t="s">
        <v>35</v>
      </c>
      <c r="D652" s="3" t="s">
        <v>36</v>
      </c>
      <c r="E652" s="3" t="s">
        <v>30</v>
      </c>
      <c r="F652" s="3" t="s">
        <v>86</v>
      </c>
      <c r="G652" s="3">
        <v>2016</v>
      </c>
      <c r="H652" s="3" t="str">
        <f>CONCATENATE("64210911919")</f>
        <v>64210911919</v>
      </c>
      <c r="I652" s="3" t="s">
        <v>25</v>
      </c>
      <c r="J652" s="3" t="s">
        <v>26</v>
      </c>
      <c r="K652" s="3" t="str">
        <f t="shared" si="28"/>
        <v/>
      </c>
      <c r="L652" s="3" t="str">
        <f>CONCATENATE("13 13.1 4a")</f>
        <v>13 13.1 4a</v>
      </c>
      <c r="M652" s="3" t="str">
        <f>CONCATENATE("RFOMRZ64E15A462B")</f>
        <v>RFOMRZ64E15A462B</v>
      </c>
      <c r="N652" s="3" t="s">
        <v>762</v>
      </c>
      <c r="O652" s="3"/>
      <c r="P652" s="4">
        <v>42783</v>
      </c>
      <c r="Q652" s="3" t="s">
        <v>27</v>
      </c>
      <c r="R652" s="3" t="s">
        <v>28</v>
      </c>
      <c r="S652" s="3" t="s">
        <v>29</v>
      </c>
      <c r="T652" s="5">
        <v>1515.5</v>
      </c>
      <c r="U652" s="3">
        <v>653.48</v>
      </c>
      <c r="V652" s="3">
        <v>603.47</v>
      </c>
      <c r="W652" s="3">
        <v>258.55</v>
      </c>
    </row>
    <row r="653" spans="1:23" ht="60.75">
      <c r="A653" s="3" t="s">
        <v>23</v>
      </c>
      <c r="B653" s="3" t="s">
        <v>24</v>
      </c>
      <c r="C653" s="3" t="s">
        <v>35</v>
      </c>
      <c r="D653" s="3" t="s">
        <v>36</v>
      </c>
      <c r="E653" s="3" t="s">
        <v>30</v>
      </c>
      <c r="F653" s="3" t="s">
        <v>37</v>
      </c>
      <c r="G653" s="3">
        <v>2016</v>
      </c>
      <c r="H653" s="3" t="str">
        <f>CONCATENATE("64210711756")</f>
        <v>64210711756</v>
      </c>
      <c r="I653" s="3" t="s">
        <v>25</v>
      </c>
      <c r="J653" s="3" t="s">
        <v>26</v>
      </c>
      <c r="K653" s="3" t="str">
        <f t="shared" si="28"/>
        <v/>
      </c>
      <c r="L653" s="3" t="str">
        <f>CONCATENATE("13 13.1 4a")</f>
        <v>13 13.1 4a</v>
      </c>
      <c r="M653" s="3" t="str">
        <f>CONCATENATE("CCCVCN51D05H588C")</f>
        <v>CCCVCN51D05H588C</v>
      </c>
      <c r="N653" s="3" t="s">
        <v>763</v>
      </c>
      <c r="O653" s="3"/>
      <c r="P653" s="4">
        <v>42783</v>
      </c>
      <c r="Q653" s="3" t="s">
        <v>27</v>
      </c>
      <c r="R653" s="3" t="s">
        <v>28</v>
      </c>
      <c r="S653" s="3" t="s">
        <v>29</v>
      </c>
      <c r="T653" s="5">
        <v>1019.25</v>
      </c>
      <c r="U653" s="3">
        <v>439.5</v>
      </c>
      <c r="V653" s="3">
        <v>405.87</v>
      </c>
      <c r="W653" s="3">
        <v>173.88</v>
      </c>
    </row>
    <row r="654" spans="1:23" ht="60.75">
      <c r="A654" s="3" t="s">
        <v>23</v>
      </c>
      <c r="B654" s="3" t="s">
        <v>24</v>
      </c>
      <c r="C654" s="3" t="s">
        <v>35</v>
      </c>
      <c r="D654" s="3" t="s">
        <v>36</v>
      </c>
      <c r="E654" s="3" t="s">
        <v>30</v>
      </c>
      <c r="F654" s="3" t="s">
        <v>257</v>
      </c>
      <c r="G654" s="3">
        <v>2016</v>
      </c>
      <c r="H654" s="3" t="str">
        <f>CONCATENATE("64240680914")</f>
        <v>64240680914</v>
      </c>
      <c r="I654" s="3" t="s">
        <v>25</v>
      </c>
      <c r="J654" s="3" t="s">
        <v>26</v>
      </c>
      <c r="K654" s="3" t="str">
        <f t="shared" si="28"/>
        <v/>
      </c>
      <c r="L654" s="3" t="str">
        <f>CONCATENATE("11 11.2 4b")</f>
        <v>11 11.2 4b</v>
      </c>
      <c r="M654" s="3" t="str">
        <f>CONCATENATE("SPRNCI75B21D542G")</f>
        <v>SPRNCI75B21D542G</v>
      </c>
      <c r="N654" s="3" t="s">
        <v>764</v>
      </c>
      <c r="O654" s="3"/>
      <c r="P654" s="4">
        <v>42783</v>
      </c>
      <c r="Q654" s="3" t="s">
        <v>27</v>
      </c>
      <c r="R654" s="3" t="s">
        <v>28</v>
      </c>
      <c r="S654" s="3" t="s">
        <v>29</v>
      </c>
      <c r="T654" s="5">
        <v>2029.75</v>
      </c>
      <c r="U654" s="3">
        <v>875.23</v>
      </c>
      <c r="V654" s="3">
        <v>808.25</v>
      </c>
      <c r="W654" s="3">
        <v>346.27</v>
      </c>
    </row>
    <row r="655" spans="1:23" ht="60.75">
      <c r="A655" s="3" t="s">
        <v>23</v>
      </c>
      <c r="B655" s="3" t="s">
        <v>24</v>
      </c>
      <c r="C655" s="3" t="s">
        <v>35</v>
      </c>
      <c r="D655" s="3" t="s">
        <v>39</v>
      </c>
      <c r="E655" s="3" t="s">
        <v>32</v>
      </c>
      <c r="F655" s="3" t="s">
        <v>69</v>
      </c>
      <c r="G655" s="3">
        <v>2016</v>
      </c>
      <c r="H655" s="3" t="str">
        <f>CONCATENATE("64240604377")</f>
        <v>64240604377</v>
      </c>
      <c r="I655" s="3" t="s">
        <v>25</v>
      </c>
      <c r="J655" s="3" t="s">
        <v>26</v>
      </c>
      <c r="K655" s="3" t="str">
        <f t="shared" si="28"/>
        <v/>
      </c>
      <c r="L655" s="3" t="str">
        <f>CONCATENATE("11 11.2 4b")</f>
        <v>11 11.2 4b</v>
      </c>
      <c r="M655" s="3" t="str">
        <f>CONCATENATE("SRVCSL71E64L219O")</f>
        <v>SRVCSL71E64L219O</v>
      </c>
      <c r="N655" s="3" t="s">
        <v>765</v>
      </c>
      <c r="O655" s="3"/>
      <c r="P655" s="4">
        <v>42783</v>
      </c>
      <c r="Q655" s="3" t="s">
        <v>27</v>
      </c>
      <c r="R655" s="3" t="s">
        <v>28</v>
      </c>
      <c r="S655" s="3" t="s">
        <v>29</v>
      </c>
      <c r="T655" s="5">
        <v>3840.2</v>
      </c>
      <c r="U655" s="5">
        <v>1655.89</v>
      </c>
      <c r="V655" s="5">
        <v>1529.17</v>
      </c>
      <c r="W655" s="3">
        <v>655.14</v>
      </c>
    </row>
    <row r="656" spans="1:23" ht="60.75">
      <c r="A656" s="3" t="s">
        <v>23</v>
      </c>
      <c r="B656" s="3" t="s">
        <v>24</v>
      </c>
      <c r="C656" s="3" t="s">
        <v>35</v>
      </c>
      <c r="D656" s="3" t="s">
        <v>36</v>
      </c>
      <c r="E656" s="3" t="s">
        <v>42</v>
      </c>
      <c r="F656" s="3" t="s">
        <v>42</v>
      </c>
      <c r="G656" s="3">
        <v>2016</v>
      </c>
      <c r="H656" s="3" t="str">
        <f>CONCATENATE("64240402293")</f>
        <v>64240402293</v>
      </c>
      <c r="I656" s="3" t="s">
        <v>25</v>
      </c>
      <c r="J656" s="3" t="s">
        <v>26</v>
      </c>
      <c r="K656" s="3" t="str">
        <f t="shared" si="28"/>
        <v/>
      </c>
      <c r="L656" s="3" t="str">
        <f>CONCATENATE("11 11.2 4b")</f>
        <v>11 11.2 4b</v>
      </c>
      <c r="M656" s="3" t="str">
        <f>CONCATENATE("ZZIGNN71S20I774Y")</f>
        <v>ZZIGNN71S20I774Y</v>
      </c>
      <c r="N656" s="3" t="s">
        <v>766</v>
      </c>
      <c r="O656" s="3"/>
      <c r="P656" s="4">
        <v>42783</v>
      </c>
      <c r="Q656" s="3" t="s">
        <v>27</v>
      </c>
      <c r="R656" s="3" t="s">
        <v>28</v>
      </c>
      <c r="S656" s="3" t="s">
        <v>29</v>
      </c>
      <c r="T656" s="5">
        <v>1650.92</v>
      </c>
      <c r="U656" s="3">
        <v>711.88</v>
      </c>
      <c r="V656" s="3">
        <v>657.4</v>
      </c>
      <c r="W656" s="3">
        <v>281.64</v>
      </c>
    </row>
    <row r="657" spans="1:23" ht="72.75">
      <c r="A657" s="3" t="s">
        <v>23</v>
      </c>
      <c r="B657" s="3" t="s">
        <v>24</v>
      </c>
      <c r="C657" s="3" t="s">
        <v>35</v>
      </c>
      <c r="D657" s="3" t="s">
        <v>48</v>
      </c>
      <c r="E657" s="3" t="s">
        <v>30</v>
      </c>
      <c r="F657" s="3" t="s">
        <v>91</v>
      </c>
      <c r="G657" s="3">
        <v>2016</v>
      </c>
      <c r="H657" s="3" t="str">
        <f>CONCATENATE("64210591547")</f>
        <v>64210591547</v>
      </c>
      <c r="I657" s="3" t="s">
        <v>25</v>
      </c>
      <c r="J657" s="3" t="s">
        <v>26</v>
      </c>
      <c r="K657" s="3" t="str">
        <f t="shared" si="28"/>
        <v/>
      </c>
      <c r="L657" s="3" t="str">
        <f>CONCATENATE("13 13.1 4a")</f>
        <v>13 13.1 4a</v>
      </c>
      <c r="M657" s="3" t="str">
        <f>CONCATENATE("RCTGCR61M28B474D")</f>
        <v>RCTGCR61M28B474D</v>
      </c>
      <c r="N657" s="3" t="s">
        <v>767</v>
      </c>
      <c r="O657" s="3"/>
      <c r="P657" s="4">
        <v>42783</v>
      </c>
      <c r="Q657" s="3" t="s">
        <v>27</v>
      </c>
      <c r="R657" s="3" t="s">
        <v>28</v>
      </c>
      <c r="S657" s="3" t="s">
        <v>29</v>
      </c>
      <c r="T657" s="5">
        <v>1457.32</v>
      </c>
      <c r="U657" s="3">
        <v>628.4</v>
      </c>
      <c r="V657" s="3">
        <v>580.29999999999995</v>
      </c>
      <c r="W657" s="3">
        <v>248.62</v>
      </c>
    </row>
    <row r="658" spans="1:23" ht="60.75">
      <c r="A658" s="3" t="s">
        <v>23</v>
      </c>
      <c r="B658" s="3" t="s">
        <v>24</v>
      </c>
      <c r="C658" s="3" t="s">
        <v>35</v>
      </c>
      <c r="D658" s="3" t="s">
        <v>48</v>
      </c>
      <c r="E658" s="3" t="s">
        <v>34</v>
      </c>
      <c r="F658" s="3" t="s">
        <v>141</v>
      </c>
      <c r="G658" s="3">
        <v>2016</v>
      </c>
      <c r="H658" s="3" t="str">
        <f>CONCATENATE("64240564506")</f>
        <v>64240564506</v>
      </c>
      <c r="I658" s="3" t="s">
        <v>25</v>
      </c>
      <c r="J658" s="3" t="s">
        <v>26</v>
      </c>
      <c r="K658" s="3" t="str">
        <f t="shared" si="28"/>
        <v/>
      </c>
      <c r="L658" s="3" t="str">
        <f>CONCATENATE("11 11.2 4b")</f>
        <v>11 11.2 4b</v>
      </c>
      <c r="M658" s="3" t="str">
        <f>CONCATENATE("RLNLNI27C46D477U")</f>
        <v>RLNLNI27C46D477U</v>
      </c>
      <c r="N658" s="3" t="s">
        <v>768</v>
      </c>
      <c r="O658" s="3"/>
      <c r="P658" s="4">
        <v>42783</v>
      </c>
      <c r="Q658" s="3" t="s">
        <v>27</v>
      </c>
      <c r="R658" s="3" t="s">
        <v>28</v>
      </c>
      <c r="S658" s="3" t="s">
        <v>29</v>
      </c>
      <c r="T658" s="5">
        <v>2444.1</v>
      </c>
      <c r="U658" s="5">
        <v>1053.9000000000001</v>
      </c>
      <c r="V658" s="3">
        <v>973.24</v>
      </c>
      <c r="W658" s="3">
        <v>416.96</v>
      </c>
    </row>
    <row r="659" spans="1:23" ht="36.75">
      <c r="A659" s="3" t="s">
        <v>23</v>
      </c>
      <c r="B659" s="3" t="s">
        <v>24</v>
      </c>
      <c r="C659" s="3" t="s">
        <v>35</v>
      </c>
      <c r="D659" s="3" t="s">
        <v>48</v>
      </c>
      <c r="E659" s="3" t="s">
        <v>30</v>
      </c>
      <c r="F659" s="3" t="s">
        <v>91</v>
      </c>
      <c r="G659" s="3">
        <v>2016</v>
      </c>
      <c r="H659" s="3" t="str">
        <f>CONCATENATE("64240320628")</f>
        <v>64240320628</v>
      </c>
      <c r="I659" s="3" t="s">
        <v>31</v>
      </c>
      <c r="J659" s="3" t="s">
        <v>26</v>
      </c>
      <c r="K659" s="3" t="str">
        <f t="shared" si="28"/>
        <v/>
      </c>
      <c r="L659" s="3" t="str">
        <f>CONCATENATE("11 11.2 4b")</f>
        <v>11 11.2 4b</v>
      </c>
      <c r="M659" s="3" t="str">
        <f>CONCATENATE("01710950435")</f>
        <v>01710950435</v>
      </c>
      <c r="N659" s="3" t="s">
        <v>769</v>
      </c>
      <c r="O659" s="3"/>
      <c r="P659" s="4">
        <v>42783</v>
      </c>
      <c r="Q659" s="3" t="s">
        <v>27</v>
      </c>
      <c r="R659" s="3" t="s">
        <v>28</v>
      </c>
      <c r="S659" s="3" t="s">
        <v>29</v>
      </c>
      <c r="T659" s="3">
        <v>298.37</v>
      </c>
      <c r="U659" s="3">
        <v>128.66</v>
      </c>
      <c r="V659" s="3">
        <v>118.81</v>
      </c>
      <c r="W659" s="3">
        <v>50.9</v>
      </c>
    </row>
    <row r="660" spans="1:23" ht="36.75">
      <c r="A660" s="3" t="s">
        <v>23</v>
      </c>
      <c r="B660" s="3" t="s">
        <v>24</v>
      </c>
      <c r="C660" s="3" t="s">
        <v>35</v>
      </c>
      <c r="D660" s="3" t="s">
        <v>39</v>
      </c>
      <c r="E660" s="3" t="s">
        <v>34</v>
      </c>
      <c r="F660" s="3" t="s">
        <v>170</v>
      </c>
      <c r="G660" s="3">
        <v>2016</v>
      </c>
      <c r="H660" s="3" t="str">
        <f>CONCATENATE("64240852224")</f>
        <v>64240852224</v>
      </c>
      <c r="I660" s="3" t="s">
        <v>31</v>
      </c>
      <c r="J660" s="3" t="s">
        <v>26</v>
      </c>
      <c r="K660" s="3" t="str">
        <f t="shared" si="28"/>
        <v/>
      </c>
      <c r="L660" s="3" t="str">
        <f>CONCATENATE("11 11.2 4b")</f>
        <v>11 11.2 4b</v>
      </c>
      <c r="M660" s="3" t="str">
        <f>CONCATENATE("02351550427")</f>
        <v>02351550427</v>
      </c>
      <c r="N660" s="3" t="s">
        <v>770</v>
      </c>
      <c r="O660" s="3"/>
      <c r="P660" s="4">
        <v>42783</v>
      </c>
      <c r="Q660" s="3" t="s">
        <v>27</v>
      </c>
      <c r="R660" s="3" t="s">
        <v>28</v>
      </c>
      <c r="S660" s="3" t="s">
        <v>29</v>
      </c>
      <c r="T660" s="5">
        <v>1964.61</v>
      </c>
      <c r="U660" s="3">
        <v>847.14</v>
      </c>
      <c r="V660" s="3">
        <v>782.31</v>
      </c>
      <c r="W660" s="3">
        <v>335.16</v>
      </c>
    </row>
    <row r="661" spans="1:23" ht="36.75">
      <c r="A661" s="3" t="s">
        <v>23</v>
      </c>
      <c r="B661" s="3" t="s">
        <v>24</v>
      </c>
      <c r="C661" s="3" t="s">
        <v>35</v>
      </c>
      <c r="D661" s="3" t="s">
        <v>43</v>
      </c>
      <c r="E661" s="3" t="s">
        <v>30</v>
      </c>
      <c r="F661" s="3" t="s">
        <v>124</v>
      </c>
      <c r="G661" s="3">
        <v>2016</v>
      </c>
      <c r="H661" s="3" t="str">
        <f>CONCATENATE("64240440731")</f>
        <v>64240440731</v>
      </c>
      <c r="I661" s="3" t="s">
        <v>31</v>
      </c>
      <c r="J661" s="3" t="s">
        <v>26</v>
      </c>
      <c r="K661" s="3" t="str">
        <f t="shared" si="28"/>
        <v/>
      </c>
      <c r="L661" s="3" t="str">
        <f>CONCATENATE("11 11.2 4b")</f>
        <v>11 11.2 4b</v>
      </c>
      <c r="M661" s="3" t="str">
        <f>CONCATENATE("01180010413")</f>
        <v>01180010413</v>
      </c>
      <c r="N661" s="3" t="s">
        <v>771</v>
      </c>
      <c r="O661" s="3"/>
      <c r="P661" s="4">
        <v>42783</v>
      </c>
      <c r="Q661" s="3" t="s">
        <v>27</v>
      </c>
      <c r="R661" s="3" t="s">
        <v>28</v>
      </c>
      <c r="S661" s="3" t="s">
        <v>29</v>
      </c>
      <c r="T661" s="5">
        <v>15858.4</v>
      </c>
      <c r="U661" s="5">
        <v>6838.14</v>
      </c>
      <c r="V661" s="5">
        <v>6314.81</v>
      </c>
      <c r="W661" s="5">
        <v>2705.45</v>
      </c>
    </row>
    <row r="662" spans="1:23" ht="60.75">
      <c r="A662" s="3" t="s">
        <v>23</v>
      </c>
      <c r="B662" s="3" t="s">
        <v>24</v>
      </c>
      <c r="C662" s="3" t="s">
        <v>35</v>
      </c>
      <c r="D662" s="3" t="s">
        <v>39</v>
      </c>
      <c r="E662" s="3" t="s">
        <v>30</v>
      </c>
      <c r="F662" s="3" t="s">
        <v>84</v>
      </c>
      <c r="G662" s="3">
        <v>2016</v>
      </c>
      <c r="H662" s="3" t="str">
        <f>CONCATENATE("64240244356")</f>
        <v>64240244356</v>
      </c>
      <c r="I662" s="3" t="s">
        <v>25</v>
      </c>
      <c r="J662" s="3" t="s">
        <v>26</v>
      </c>
      <c r="K662" s="3" t="str">
        <f t="shared" si="28"/>
        <v/>
      </c>
      <c r="L662" s="3" t="str">
        <f>CONCATENATE("11 11.2 4b")</f>
        <v>11 11.2 4b</v>
      </c>
      <c r="M662" s="3" t="str">
        <f>CONCATENATE("BCCMRA88E66D451X")</f>
        <v>BCCMRA88E66D451X</v>
      </c>
      <c r="N662" s="3" t="s">
        <v>772</v>
      </c>
      <c r="O662" s="3"/>
      <c r="P662" s="4">
        <v>42783</v>
      </c>
      <c r="Q662" s="3" t="s">
        <v>27</v>
      </c>
      <c r="R662" s="3" t="s">
        <v>28</v>
      </c>
      <c r="S662" s="3" t="s">
        <v>29</v>
      </c>
      <c r="T662" s="5">
        <v>11293.82</v>
      </c>
      <c r="U662" s="5">
        <v>4869.8999999999996</v>
      </c>
      <c r="V662" s="5">
        <v>4497.2</v>
      </c>
      <c r="W662" s="5">
        <v>1926.72</v>
      </c>
    </row>
    <row r="663" spans="1:23" ht="36.75">
      <c r="A663" s="3" t="s">
        <v>23</v>
      </c>
      <c r="B663" s="3" t="s">
        <v>24</v>
      </c>
      <c r="C663" s="3" t="s">
        <v>35</v>
      </c>
      <c r="D663" s="3" t="s">
        <v>39</v>
      </c>
      <c r="E663" s="3" t="s">
        <v>32</v>
      </c>
      <c r="F663" s="3" t="s">
        <v>215</v>
      </c>
      <c r="G663" s="3">
        <v>2016</v>
      </c>
      <c r="H663" s="3" t="str">
        <f>CONCATENATE("64240303087")</f>
        <v>64240303087</v>
      </c>
      <c r="I663" s="3" t="s">
        <v>25</v>
      </c>
      <c r="J663" s="3" t="s">
        <v>26</v>
      </c>
      <c r="K663" s="3" t="str">
        <f t="shared" si="28"/>
        <v/>
      </c>
      <c r="L663" s="3" t="str">
        <f>CONCATENATE("10 10.1 4a")</f>
        <v>10 10.1 4a</v>
      </c>
      <c r="M663" s="3" t="str">
        <f>CONCATENATE("02427770421")</f>
        <v>02427770421</v>
      </c>
      <c r="N663" s="3" t="s">
        <v>543</v>
      </c>
      <c r="O663" s="3"/>
      <c r="P663" s="4">
        <v>42783</v>
      </c>
      <c r="Q663" s="3" t="s">
        <v>27</v>
      </c>
      <c r="R663" s="3" t="s">
        <v>28</v>
      </c>
      <c r="S663" s="3" t="s">
        <v>29</v>
      </c>
      <c r="T663" s="3">
        <v>883.86</v>
      </c>
      <c r="U663" s="3">
        <v>381.12</v>
      </c>
      <c r="V663" s="3">
        <v>351.95</v>
      </c>
      <c r="W663" s="3">
        <v>150.79</v>
      </c>
    </row>
    <row r="664" spans="1:23" ht="60.75">
      <c r="A664" s="3" t="s">
        <v>23</v>
      </c>
      <c r="B664" s="3" t="s">
        <v>24</v>
      </c>
      <c r="C664" s="3" t="s">
        <v>35</v>
      </c>
      <c r="D664" s="3" t="s">
        <v>48</v>
      </c>
      <c r="E664" s="3" t="s">
        <v>30</v>
      </c>
      <c r="F664" s="3" t="s">
        <v>91</v>
      </c>
      <c r="G664" s="3">
        <v>2016</v>
      </c>
      <c r="H664" s="3" t="str">
        <f>CONCATENATE("64240318093")</f>
        <v>64240318093</v>
      </c>
      <c r="I664" s="3" t="s">
        <v>25</v>
      </c>
      <c r="J664" s="3" t="s">
        <v>26</v>
      </c>
      <c r="K664" s="3" t="str">
        <f t="shared" si="28"/>
        <v/>
      </c>
      <c r="L664" s="3" t="str">
        <f>CONCATENATE("11 11.1 4b")</f>
        <v>11 11.1 4b</v>
      </c>
      <c r="M664" s="3" t="str">
        <f>CONCATENATE("PYRBNR42D18L219T")</f>
        <v>PYRBNR42D18L219T</v>
      </c>
      <c r="N664" s="3" t="s">
        <v>566</v>
      </c>
      <c r="O664" s="3"/>
      <c r="P664" s="4">
        <v>42783</v>
      </c>
      <c r="Q664" s="3" t="s">
        <v>27</v>
      </c>
      <c r="R664" s="3" t="s">
        <v>28</v>
      </c>
      <c r="S664" s="3" t="s">
        <v>29</v>
      </c>
      <c r="T664" s="5">
        <v>15957.04</v>
      </c>
      <c r="U664" s="5">
        <v>6880.68</v>
      </c>
      <c r="V664" s="5">
        <v>6354.09</v>
      </c>
      <c r="W664" s="5">
        <v>2722.27</v>
      </c>
    </row>
    <row r="665" spans="1:23" ht="72.75">
      <c r="A665" s="3" t="s">
        <v>23</v>
      </c>
      <c r="B665" s="3" t="s">
        <v>24</v>
      </c>
      <c r="C665" s="3" t="s">
        <v>35</v>
      </c>
      <c r="D665" s="3" t="s">
        <v>39</v>
      </c>
      <c r="E665" s="3" t="s">
        <v>30</v>
      </c>
      <c r="F665" s="3" t="s">
        <v>84</v>
      </c>
      <c r="G665" s="3">
        <v>2016</v>
      </c>
      <c r="H665" s="3" t="str">
        <f>CONCATENATE("64210681942")</f>
        <v>64210681942</v>
      </c>
      <c r="I665" s="3" t="s">
        <v>25</v>
      </c>
      <c r="J665" s="3" t="s">
        <v>26</v>
      </c>
      <c r="K665" s="3" t="str">
        <f t="shared" si="28"/>
        <v/>
      </c>
      <c r="L665" s="3" t="str">
        <f>CONCATENATE("13 13.1 4a")</f>
        <v>13 13.1 4a</v>
      </c>
      <c r="M665" s="3" t="str">
        <f>CONCATENATE("VNNMNL69R66D451A")</f>
        <v>VNNMNL69R66D451A</v>
      </c>
      <c r="N665" s="3" t="s">
        <v>773</v>
      </c>
      <c r="O665" s="3"/>
      <c r="P665" s="4">
        <v>42783</v>
      </c>
      <c r="Q665" s="3" t="s">
        <v>27</v>
      </c>
      <c r="R665" s="3" t="s">
        <v>28</v>
      </c>
      <c r="S665" s="3" t="s">
        <v>29</v>
      </c>
      <c r="T665" s="5">
        <v>3320.19</v>
      </c>
      <c r="U665" s="5">
        <v>1431.67</v>
      </c>
      <c r="V665" s="5">
        <v>1322.1</v>
      </c>
      <c r="W665" s="3">
        <v>566.41999999999996</v>
      </c>
    </row>
    <row r="666" spans="1:23" ht="60.75">
      <c r="A666" s="3" t="s">
        <v>23</v>
      </c>
      <c r="B666" s="3" t="s">
        <v>24</v>
      </c>
      <c r="C666" s="3" t="s">
        <v>35</v>
      </c>
      <c r="D666" s="3" t="s">
        <v>39</v>
      </c>
      <c r="E666" s="3" t="s">
        <v>30</v>
      </c>
      <c r="F666" s="3" t="s">
        <v>40</v>
      </c>
      <c r="G666" s="3">
        <v>2016</v>
      </c>
      <c r="H666" s="3" t="str">
        <f>CONCATENATE("64240307427")</f>
        <v>64240307427</v>
      </c>
      <c r="I666" s="3" t="s">
        <v>25</v>
      </c>
      <c r="J666" s="3" t="s">
        <v>26</v>
      </c>
      <c r="K666" s="3" t="str">
        <f t="shared" si="28"/>
        <v/>
      </c>
      <c r="L666" s="3" t="str">
        <f>CONCATENATE("10 10.1 4a")</f>
        <v>10 10.1 4a</v>
      </c>
      <c r="M666" s="3" t="str">
        <f>CONCATENATE("DTTDRD90S22E388C")</f>
        <v>DTTDRD90S22E388C</v>
      </c>
      <c r="N666" s="3" t="s">
        <v>774</v>
      </c>
      <c r="O666" s="3"/>
      <c r="P666" s="4">
        <v>42783</v>
      </c>
      <c r="Q666" s="3" t="s">
        <v>27</v>
      </c>
      <c r="R666" s="3" t="s">
        <v>28</v>
      </c>
      <c r="S666" s="3" t="s">
        <v>29</v>
      </c>
      <c r="T666" s="3">
        <v>523.94000000000005</v>
      </c>
      <c r="U666" s="3">
        <v>225.92</v>
      </c>
      <c r="V666" s="3">
        <v>208.63</v>
      </c>
      <c r="W666" s="3">
        <v>89.39</v>
      </c>
    </row>
    <row r="667" spans="1:23" ht="60.75">
      <c r="A667" s="3" t="s">
        <v>23</v>
      </c>
      <c r="B667" s="3" t="s">
        <v>24</v>
      </c>
      <c r="C667" s="3" t="s">
        <v>35</v>
      </c>
      <c r="D667" s="3" t="s">
        <v>48</v>
      </c>
      <c r="E667" s="3" t="s">
        <v>30</v>
      </c>
      <c r="F667" s="3" t="s">
        <v>157</v>
      </c>
      <c r="G667" s="3">
        <v>2016</v>
      </c>
      <c r="H667" s="3" t="str">
        <f>CONCATENATE("64240728168")</f>
        <v>64240728168</v>
      </c>
      <c r="I667" s="3" t="s">
        <v>25</v>
      </c>
      <c r="J667" s="3" t="s">
        <v>26</v>
      </c>
      <c r="K667" s="3" t="str">
        <f t="shared" si="28"/>
        <v/>
      </c>
      <c r="L667" s="3" t="str">
        <f>CONCATENATE("11 11.1 4b")</f>
        <v>11 11.1 4b</v>
      </c>
      <c r="M667" s="3" t="str">
        <f>CONCATENATE("RMNGLC83E15L191N")</f>
        <v>RMNGLC83E15L191N</v>
      </c>
      <c r="N667" s="3" t="s">
        <v>775</v>
      </c>
      <c r="O667" s="3"/>
      <c r="P667" s="4">
        <v>42783</v>
      </c>
      <c r="Q667" s="3" t="s">
        <v>27</v>
      </c>
      <c r="R667" s="3" t="s">
        <v>28</v>
      </c>
      <c r="S667" s="3" t="s">
        <v>29</v>
      </c>
      <c r="T667" s="5">
        <v>2846.59</v>
      </c>
      <c r="U667" s="5">
        <v>1227.45</v>
      </c>
      <c r="V667" s="5">
        <v>1133.51</v>
      </c>
      <c r="W667" s="3">
        <v>485.63</v>
      </c>
    </row>
    <row r="668" spans="1:23" ht="36.75">
      <c r="A668" s="3" t="s">
        <v>23</v>
      </c>
      <c r="B668" s="3" t="s">
        <v>24</v>
      </c>
      <c r="C668" s="3" t="s">
        <v>35</v>
      </c>
      <c r="D668" s="3" t="s">
        <v>36</v>
      </c>
      <c r="E668" s="3" t="s">
        <v>42</v>
      </c>
      <c r="F668" s="3" t="s">
        <v>42</v>
      </c>
      <c r="G668" s="3">
        <v>2016</v>
      </c>
      <c r="H668" s="3" t="str">
        <f>CONCATENATE("64240377909")</f>
        <v>64240377909</v>
      </c>
      <c r="I668" s="3" t="s">
        <v>25</v>
      </c>
      <c r="J668" s="3" t="s">
        <v>26</v>
      </c>
      <c r="K668" s="3" t="str">
        <f t="shared" si="28"/>
        <v/>
      </c>
      <c r="L668" s="3" t="str">
        <f>CONCATENATE("11 11.2 4b")</f>
        <v>11 11.2 4b</v>
      </c>
      <c r="M668" s="3" t="str">
        <f>CONCATENATE("00487290447")</f>
        <v>00487290447</v>
      </c>
      <c r="N668" s="3" t="s">
        <v>776</v>
      </c>
      <c r="O668" s="3"/>
      <c r="P668" s="4">
        <v>42783</v>
      </c>
      <c r="Q668" s="3" t="s">
        <v>27</v>
      </c>
      <c r="R668" s="3" t="s">
        <v>28</v>
      </c>
      <c r="S668" s="3" t="s">
        <v>29</v>
      </c>
      <c r="T668" s="5">
        <v>4890.62</v>
      </c>
      <c r="U668" s="5">
        <v>2108.84</v>
      </c>
      <c r="V668" s="5">
        <v>1947.44</v>
      </c>
      <c r="W668" s="3">
        <v>834.34</v>
      </c>
    </row>
    <row r="669" spans="1:23" ht="60.75">
      <c r="A669" s="3" t="s">
        <v>23</v>
      </c>
      <c r="B669" s="3" t="s">
        <v>24</v>
      </c>
      <c r="C669" s="3" t="s">
        <v>35</v>
      </c>
      <c r="D669" s="3" t="s">
        <v>48</v>
      </c>
      <c r="E669" s="3" t="s">
        <v>49</v>
      </c>
      <c r="F669" s="3" t="s">
        <v>74</v>
      </c>
      <c r="G669" s="3">
        <v>2016</v>
      </c>
      <c r="H669" s="3" t="str">
        <f>CONCATENATE("64240452223")</f>
        <v>64240452223</v>
      </c>
      <c r="I669" s="3" t="s">
        <v>25</v>
      </c>
      <c r="J669" s="3" t="s">
        <v>26</v>
      </c>
      <c r="K669" s="3" t="str">
        <f t="shared" si="28"/>
        <v/>
      </c>
      <c r="L669" s="3" t="str">
        <f>CONCATENATE("11 11.2 4b")</f>
        <v>11 11.2 4b</v>
      </c>
      <c r="M669" s="3" t="str">
        <f>CONCATENATE("CRFPPN66A10M078Z")</f>
        <v>CRFPPN66A10M078Z</v>
      </c>
      <c r="N669" s="3" t="s">
        <v>777</v>
      </c>
      <c r="O669" s="3"/>
      <c r="P669" s="4">
        <v>42783</v>
      </c>
      <c r="Q669" s="3" t="s">
        <v>27</v>
      </c>
      <c r="R669" s="3" t="s">
        <v>28</v>
      </c>
      <c r="S669" s="3" t="s">
        <v>29</v>
      </c>
      <c r="T669" s="5">
        <v>4328.3599999999997</v>
      </c>
      <c r="U669" s="5">
        <v>1866.39</v>
      </c>
      <c r="V669" s="5">
        <v>1723.55</v>
      </c>
      <c r="W669" s="3">
        <v>738.42</v>
      </c>
    </row>
    <row r="670" spans="1:23" ht="60.75">
      <c r="A670" s="3" t="s">
        <v>23</v>
      </c>
      <c r="B670" s="3" t="s">
        <v>24</v>
      </c>
      <c r="C670" s="3" t="s">
        <v>35</v>
      </c>
      <c r="D670" s="3" t="s">
        <v>36</v>
      </c>
      <c r="E670" s="3" t="s">
        <v>59</v>
      </c>
      <c r="F670" s="3" t="s">
        <v>62</v>
      </c>
      <c r="G670" s="3">
        <v>2016</v>
      </c>
      <c r="H670" s="3" t="str">
        <f>CONCATENATE("64240262960")</f>
        <v>64240262960</v>
      </c>
      <c r="I670" s="3" t="s">
        <v>25</v>
      </c>
      <c r="J670" s="3" t="s">
        <v>26</v>
      </c>
      <c r="K670" s="3" t="str">
        <f t="shared" si="28"/>
        <v/>
      </c>
      <c r="L670" s="3" t="str">
        <f>CONCATENATE("11 11.2 4b")</f>
        <v>11 11.2 4b</v>
      </c>
      <c r="M670" s="3" t="str">
        <f>CONCATENATE("BRTPLA58E16C523Q")</f>
        <v>BRTPLA58E16C523Q</v>
      </c>
      <c r="N670" s="3" t="s">
        <v>778</v>
      </c>
      <c r="O670" s="3"/>
      <c r="P670" s="4">
        <v>42783</v>
      </c>
      <c r="Q670" s="3" t="s">
        <v>27</v>
      </c>
      <c r="R670" s="3" t="s">
        <v>28</v>
      </c>
      <c r="S670" s="3" t="s">
        <v>29</v>
      </c>
      <c r="T670" s="5">
        <v>1099.32</v>
      </c>
      <c r="U670" s="3">
        <v>474.03</v>
      </c>
      <c r="V670" s="3">
        <v>437.75</v>
      </c>
      <c r="W670" s="3">
        <v>187.54</v>
      </c>
    </row>
    <row r="671" spans="1:23" ht="36.75">
      <c r="A671" s="3" t="s">
        <v>23</v>
      </c>
      <c r="B671" s="3" t="s">
        <v>24</v>
      </c>
      <c r="C671" s="3" t="s">
        <v>35</v>
      </c>
      <c r="D671" s="3" t="s">
        <v>48</v>
      </c>
      <c r="E671" s="3" t="s">
        <v>49</v>
      </c>
      <c r="F671" s="3" t="s">
        <v>779</v>
      </c>
      <c r="G671" s="3">
        <v>2016</v>
      </c>
      <c r="H671" s="3" t="str">
        <f>CONCATENATE("64240704920")</f>
        <v>64240704920</v>
      </c>
      <c r="I671" s="3" t="s">
        <v>25</v>
      </c>
      <c r="J671" s="3" t="s">
        <v>26</v>
      </c>
      <c r="K671" s="3" t="str">
        <f t="shared" si="28"/>
        <v/>
      </c>
      <c r="L671" s="3" t="str">
        <f>CONCATENATE("11 11.1 4b")</f>
        <v>11 11.1 4b</v>
      </c>
      <c r="M671" s="3" t="str">
        <f>CONCATENATE("01914940430")</f>
        <v>01914940430</v>
      </c>
      <c r="N671" s="3" t="s">
        <v>780</v>
      </c>
      <c r="O671" s="3"/>
      <c r="P671" s="4">
        <v>42783</v>
      </c>
      <c r="Q671" s="3" t="s">
        <v>27</v>
      </c>
      <c r="R671" s="3" t="s">
        <v>28</v>
      </c>
      <c r="S671" s="3" t="s">
        <v>29</v>
      </c>
      <c r="T671" s="5">
        <v>5446.1</v>
      </c>
      <c r="U671" s="5">
        <v>2348.36</v>
      </c>
      <c r="V671" s="5">
        <v>2168.64</v>
      </c>
      <c r="W671" s="3">
        <v>929.1</v>
      </c>
    </row>
    <row r="672" spans="1:23" ht="36.75">
      <c r="A672" s="3" t="s">
        <v>23</v>
      </c>
      <c r="B672" s="3" t="s">
        <v>24</v>
      </c>
      <c r="C672" s="3" t="s">
        <v>35</v>
      </c>
      <c r="D672" s="3" t="s">
        <v>48</v>
      </c>
      <c r="E672" s="3" t="s">
        <v>33</v>
      </c>
      <c r="F672" s="3" t="s">
        <v>358</v>
      </c>
      <c r="G672" s="3">
        <v>2016</v>
      </c>
      <c r="H672" s="3" t="str">
        <f>CONCATENATE("64240550349")</f>
        <v>64240550349</v>
      </c>
      <c r="I672" s="3" t="s">
        <v>25</v>
      </c>
      <c r="J672" s="3" t="s">
        <v>26</v>
      </c>
      <c r="K672" s="3" t="str">
        <f t="shared" si="28"/>
        <v/>
      </c>
      <c r="L672" s="3" t="str">
        <f>CONCATENATE("11 11.2 4b")</f>
        <v>11 11.2 4b</v>
      </c>
      <c r="M672" s="3" t="str">
        <f>CONCATENATE("01429660432")</f>
        <v>01429660432</v>
      </c>
      <c r="N672" s="3" t="s">
        <v>781</v>
      </c>
      <c r="O672" s="3"/>
      <c r="P672" s="4">
        <v>42783</v>
      </c>
      <c r="Q672" s="3" t="s">
        <v>27</v>
      </c>
      <c r="R672" s="3" t="s">
        <v>28</v>
      </c>
      <c r="S672" s="3" t="s">
        <v>29</v>
      </c>
      <c r="T672" s="5">
        <v>4095.98</v>
      </c>
      <c r="U672" s="5">
        <v>1766.19</v>
      </c>
      <c r="V672" s="5">
        <v>1631.02</v>
      </c>
      <c r="W672" s="3">
        <v>698.77</v>
      </c>
    </row>
    <row r="673" spans="1:23" ht="60.75">
      <c r="A673" s="3" t="s">
        <v>23</v>
      </c>
      <c r="B673" s="3" t="s">
        <v>24</v>
      </c>
      <c r="C673" s="3" t="s">
        <v>35</v>
      </c>
      <c r="D673" s="3" t="s">
        <v>48</v>
      </c>
      <c r="E673" s="3" t="s">
        <v>49</v>
      </c>
      <c r="F673" s="3" t="s">
        <v>50</v>
      </c>
      <c r="G673" s="3">
        <v>2016</v>
      </c>
      <c r="H673" s="3" t="str">
        <f>CONCATENATE("64240635348")</f>
        <v>64240635348</v>
      </c>
      <c r="I673" s="3" t="s">
        <v>31</v>
      </c>
      <c r="J673" s="3" t="s">
        <v>26</v>
      </c>
      <c r="K673" s="3" t="str">
        <f t="shared" si="28"/>
        <v/>
      </c>
      <c r="L673" s="3" t="str">
        <f>CONCATENATE("11 11.2 4b")</f>
        <v>11 11.2 4b</v>
      </c>
      <c r="M673" s="3" t="str">
        <f>CONCATENATE("FRNCRN59A60E783J")</f>
        <v>FRNCRN59A60E783J</v>
      </c>
      <c r="N673" s="3" t="s">
        <v>782</v>
      </c>
      <c r="O673" s="3"/>
      <c r="P673" s="4">
        <v>42783</v>
      </c>
      <c r="Q673" s="3" t="s">
        <v>27</v>
      </c>
      <c r="R673" s="3" t="s">
        <v>28</v>
      </c>
      <c r="S673" s="3" t="s">
        <v>29</v>
      </c>
      <c r="T673" s="3">
        <v>104.72</v>
      </c>
      <c r="U673" s="3">
        <v>45.16</v>
      </c>
      <c r="V673" s="3">
        <v>41.7</v>
      </c>
      <c r="W673" s="3">
        <v>17.86</v>
      </c>
    </row>
    <row r="674" spans="1:23" ht="36.75">
      <c r="A674" s="3" t="s">
        <v>23</v>
      </c>
      <c r="B674" s="3" t="s">
        <v>24</v>
      </c>
      <c r="C674" s="3" t="s">
        <v>35</v>
      </c>
      <c r="D674" s="3" t="s">
        <v>36</v>
      </c>
      <c r="E674" s="3" t="s">
        <v>32</v>
      </c>
      <c r="F674" s="3" t="s">
        <v>65</v>
      </c>
      <c r="G674" s="3">
        <v>2016</v>
      </c>
      <c r="H674" s="3" t="str">
        <f>CONCATENATE("64240668752")</f>
        <v>64240668752</v>
      </c>
      <c r="I674" s="3" t="s">
        <v>31</v>
      </c>
      <c r="J674" s="3" t="s">
        <v>26</v>
      </c>
      <c r="K674" s="3" t="str">
        <f t="shared" si="28"/>
        <v/>
      </c>
      <c r="L674" s="3" t="str">
        <f>CONCATENATE("10 10.1 4b")</f>
        <v>10 10.1 4b</v>
      </c>
      <c r="M674" s="3" t="str">
        <f>CONCATENATE("00737700443")</f>
        <v>00737700443</v>
      </c>
      <c r="N674" s="3" t="s">
        <v>783</v>
      </c>
      <c r="O674" s="3"/>
      <c r="P674" s="4">
        <v>42783</v>
      </c>
      <c r="Q674" s="3" t="s">
        <v>27</v>
      </c>
      <c r="R674" s="3" t="s">
        <v>28</v>
      </c>
      <c r="S674" s="3" t="s">
        <v>29</v>
      </c>
      <c r="T674" s="5">
        <v>9269.39</v>
      </c>
      <c r="U674" s="5">
        <v>3996.96</v>
      </c>
      <c r="V674" s="5">
        <v>3691.07</v>
      </c>
      <c r="W674" s="5">
        <v>1581.36</v>
      </c>
    </row>
    <row r="675" spans="1:23" ht="36.75">
      <c r="A675" s="3" t="s">
        <v>23</v>
      </c>
      <c r="B675" s="3" t="s">
        <v>24</v>
      </c>
      <c r="C675" s="3" t="s">
        <v>35</v>
      </c>
      <c r="D675" s="3" t="s">
        <v>39</v>
      </c>
      <c r="E675" s="3" t="s">
        <v>34</v>
      </c>
      <c r="F675" s="3" t="s">
        <v>170</v>
      </c>
      <c r="G675" s="3">
        <v>2016</v>
      </c>
      <c r="H675" s="3" t="str">
        <f>CONCATENATE("64240276226")</f>
        <v>64240276226</v>
      </c>
      <c r="I675" s="3" t="s">
        <v>31</v>
      </c>
      <c r="J675" s="3" t="s">
        <v>26</v>
      </c>
      <c r="K675" s="3" t="str">
        <f t="shared" si="28"/>
        <v/>
      </c>
      <c r="L675" s="3" t="str">
        <f>CONCATENATE("11 11.1 4b")</f>
        <v>11 11.1 4b</v>
      </c>
      <c r="M675" s="3" t="str">
        <f>CONCATENATE("93079910423")</f>
        <v>93079910423</v>
      </c>
      <c r="N675" s="3" t="s">
        <v>784</v>
      </c>
      <c r="O675" s="3"/>
      <c r="P675" s="4">
        <v>42783</v>
      </c>
      <c r="Q675" s="3" t="s">
        <v>27</v>
      </c>
      <c r="R675" s="3" t="s">
        <v>28</v>
      </c>
      <c r="S675" s="3" t="s">
        <v>29</v>
      </c>
      <c r="T675" s="5">
        <v>7555.7</v>
      </c>
      <c r="U675" s="5">
        <v>3258.02</v>
      </c>
      <c r="V675" s="5">
        <v>3008.68</v>
      </c>
      <c r="W675" s="5">
        <v>1289</v>
      </c>
    </row>
    <row r="676" spans="1:23" ht="72.75">
      <c r="A676" s="3" t="s">
        <v>23</v>
      </c>
      <c r="B676" s="3" t="s">
        <v>24</v>
      </c>
      <c r="C676" s="3" t="s">
        <v>35</v>
      </c>
      <c r="D676" s="3" t="s">
        <v>48</v>
      </c>
      <c r="E676" s="3" t="s">
        <v>34</v>
      </c>
      <c r="F676" s="3" t="s">
        <v>141</v>
      </c>
      <c r="G676" s="3">
        <v>2016</v>
      </c>
      <c r="H676" s="3" t="str">
        <f>CONCATENATE("64240733945")</f>
        <v>64240733945</v>
      </c>
      <c r="I676" s="3" t="s">
        <v>25</v>
      </c>
      <c r="J676" s="3" t="s">
        <v>26</v>
      </c>
      <c r="K676" s="3" t="str">
        <f t="shared" si="28"/>
        <v/>
      </c>
      <c r="L676" s="3" t="str">
        <f>CONCATENATE("11 11.2 4b")</f>
        <v>11 11.2 4b</v>
      </c>
      <c r="M676" s="3" t="str">
        <f>CONCATENATE("GTNNMR50E43C770G")</f>
        <v>GTNNMR50E43C770G</v>
      </c>
      <c r="N676" s="3" t="s">
        <v>785</v>
      </c>
      <c r="O676" s="3"/>
      <c r="P676" s="4">
        <v>42783</v>
      </c>
      <c r="Q676" s="3" t="s">
        <v>27</v>
      </c>
      <c r="R676" s="3" t="s">
        <v>28</v>
      </c>
      <c r="S676" s="3" t="s">
        <v>29</v>
      </c>
      <c r="T676" s="5">
        <v>2203.91</v>
      </c>
      <c r="U676" s="3">
        <v>950.33</v>
      </c>
      <c r="V676" s="3">
        <v>877.6</v>
      </c>
      <c r="W676" s="3">
        <v>375.98</v>
      </c>
    </row>
    <row r="677" spans="1:23" ht="60.75">
      <c r="A677" s="3" t="s">
        <v>23</v>
      </c>
      <c r="B677" s="3" t="s">
        <v>24</v>
      </c>
      <c r="C677" s="3" t="s">
        <v>35</v>
      </c>
      <c r="D677" s="3" t="s">
        <v>43</v>
      </c>
      <c r="E677" s="3" t="s">
        <v>30</v>
      </c>
      <c r="F677" s="3" t="s">
        <v>131</v>
      </c>
      <c r="G677" s="3">
        <v>2016</v>
      </c>
      <c r="H677" s="3" t="str">
        <f>CONCATENATE("64240515078")</f>
        <v>64240515078</v>
      </c>
      <c r="I677" s="3" t="s">
        <v>25</v>
      </c>
      <c r="J677" s="3" t="s">
        <v>26</v>
      </c>
      <c r="K677" s="3" t="str">
        <f t="shared" si="28"/>
        <v/>
      </c>
      <c r="L677" s="3" t="str">
        <f>CONCATENATE("11 11.1 4b")</f>
        <v>11 11.1 4b</v>
      </c>
      <c r="M677" s="3" t="str">
        <f>CONCATENATE("MNCGRL83H30D749T")</f>
        <v>MNCGRL83H30D749T</v>
      </c>
      <c r="N677" s="3" t="s">
        <v>266</v>
      </c>
      <c r="O677" s="3"/>
      <c r="P677" s="4">
        <v>42783</v>
      </c>
      <c r="Q677" s="3" t="s">
        <v>27</v>
      </c>
      <c r="R677" s="3" t="s">
        <v>28</v>
      </c>
      <c r="S677" s="3" t="s">
        <v>29</v>
      </c>
      <c r="T677" s="5">
        <v>11151.51</v>
      </c>
      <c r="U677" s="5">
        <v>4808.53</v>
      </c>
      <c r="V677" s="5">
        <v>4440.53</v>
      </c>
      <c r="W677" s="5">
        <v>1902.45</v>
      </c>
    </row>
    <row r="678" spans="1:23" ht="60.75">
      <c r="A678" s="3" t="s">
        <v>23</v>
      </c>
      <c r="B678" s="3" t="s">
        <v>24</v>
      </c>
      <c r="C678" s="3" t="s">
        <v>35</v>
      </c>
      <c r="D678" s="3" t="s">
        <v>36</v>
      </c>
      <c r="E678" s="3" t="s">
        <v>32</v>
      </c>
      <c r="F678" s="3" t="s">
        <v>208</v>
      </c>
      <c r="G678" s="3">
        <v>2016</v>
      </c>
      <c r="H678" s="3" t="str">
        <f>CONCATENATE("64240251047")</f>
        <v>64240251047</v>
      </c>
      <c r="I678" s="3" t="s">
        <v>25</v>
      </c>
      <c r="J678" s="3" t="s">
        <v>26</v>
      </c>
      <c r="K678" s="3" t="str">
        <f t="shared" si="28"/>
        <v/>
      </c>
      <c r="L678" s="3" t="str">
        <f>CONCATENATE("11 11.2 4b")</f>
        <v>11 11.2 4b</v>
      </c>
      <c r="M678" s="3" t="str">
        <f>CONCATENATE("FLCMRZ89C30H769G")</f>
        <v>FLCMRZ89C30H769G</v>
      </c>
      <c r="N678" s="3" t="s">
        <v>786</v>
      </c>
      <c r="O678" s="3"/>
      <c r="P678" s="4">
        <v>42783</v>
      </c>
      <c r="Q678" s="3" t="s">
        <v>27</v>
      </c>
      <c r="R678" s="3" t="s">
        <v>28</v>
      </c>
      <c r="S678" s="3" t="s">
        <v>29</v>
      </c>
      <c r="T678" s="5">
        <v>2088.87</v>
      </c>
      <c r="U678" s="3">
        <v>900.72</v>
      </c>
      <c r="V678" s="3">
        <v>831.79</v>
      </c>
      <c r="W678" s="3">
        <v>356.36</v>
      </c>
    </row>
    <row r="679" spans="1:23" ht="72.75">
      <c r="A679" s="3" t="s">
        <v>23</v>
      </c>
      <c r="B679" s="3" t="s">
        <v>24</v>
      </c>
      <c r="C679" s="3" t="s">
        <v>35</v>
      </c>
      <c r="D679" s="3" t="s">
        <v>43</v>
      </c>
      <c r="E679" s="3" t="s">
        <v>49</v>
      </c>
      <c r="F679" s="3" t="s">
        <v>139</v>
      </c>
      <c r="G679" s="3">
        <v>2016</v>
      </c>
      <c r="H679" s="3" t="str">
        <f>CONCATENATE("64240900585")</f>
        <v>64240900585</v>
      </c>
      <c r="I679" s="3" t="s">
        <v>25</v>
      </c>
      <c r="J679" s="3" t="s">
        <v>26</v>
      </c>
      <c r="K679" s="3" t="str">
        <f t="shared" si="28"/>
        <v/>
      </c>
      <c r="L679" s="3" t="str">
        <f>CONCATENATE("11 11.2 4b")</f>
        <v>11 11.2 4b</v>
      </c>
      <c r="M679" s="3" t="str">
        <f>CONCATENATE("MGNRNZ56M20G479H")</f>
        <v>MGNRNZ56M20G479H</v>
      </c>
      <c r="N679" s="3" t="s">
        <v>787</v>
      </c>
      <c r="O679" s="3"/>
      <c r="P679" s="4">
        <v>42783</v>
      </c>
      <c r="Q679" s="3" t="s">
        <v>27</v>
      </c>
      <c r="R679" s="3" t="s">
        <v>28</v>
      </c>
      <c r="S679" s="3" t="s">
        <v>29</v>
      </c>
      <c r="T679" s="5">
        <v>93434.34</v>
      </c>
      <c r="U679" s="5">
        <v>40288.89</v>
      </c>
      <c r="V679" s="5">
        <v>37205.550000000003</v>
      </c>
      <c r="W679" s="5">
        <v>15939.9</v>
      </c>
    </row>
    <row r="680" spans="1:23" ht="60.75">
      <c r="A680" s="3" t="s">
        <v>23</v>
      </c>
      <c r="B680" s="3" t="s">
        <v>24</v>
      </c>
      <c r="C680" s="3" t="s">
        <v>35</v>
      </c>
      <c r="D680" s="3" t="s">
        <v>48</v>
      </c>
      <c r="E680" s="3" t="s">
        <v>30</v>
      </c>
      <c r="F680" s="3" t="s">
        <v>91</v>
      </c>
      <c r="G680" s="3">
        <v>2016</v>
      </c>
      <c r="H680" s="3" t="str">
        <f>CONCATENATE("64210608077")</f>
        <v>64210608077</v>
      </c>
      <c r="I680" s="3" t="s">
        <v>25</v>
      </c>
      <c r="J680" s="3" t="s">
        <v>26</v>
      </c>
      <c r="K680" s="3" t="str">
        <f t="shared" si="28"/>
        <v/>
      </c>
      <c r="L680" s="3" t="str">
        <f>CONCATENATE("13 13.1 4a")</f>
        <v>13 13.1 4a</v>
      </c>
      <c r="M680" s="3" t="str">
        <f>CONCATENATE("FCCLCN56T13M082M")</f>
        <v>FCCLCN56T13M082M</v>
      </c>
      <c r="N680" s="3" t="s">
        <v>788</v>
      </c>
      <c r="O680" s="3"/>
      <c r="P680" s="4">
        <v>42783</v>
      </c>
      <c r="Q680" s="3" t="s">
        <v>27</v>
      </c>
      <c r="R680" s="3" t="s">
        <v>28</v>
      </c>
      <c r="S680" s="3" t="s">
        <v>29</v>
      </c>
      <c r="T680" s="5">
        <v>4800.4799999999996</v>
      </c>
      <c r="U680" s="5">
        <v>2069.9699999999998</v>
      </c>
      <c r="V680" s="5">
        <v>1911.55</v>
      </c>
      <c r="W680" s="3">
        <v>818.96</v>
      </c>
    </row>
    <row r="681" spans="1:23" ht="60.75">
      <c r="A681" s="3" t="s">
        <v>23</v>
      </c>
      <c r="B681" s="3" t="s">
        <v>24</v>
      </c>
      <c r="C681" s="3" t="s">
        <v>35</v>
      </c>
      <c r="D681" s="3" t="s">
        <v>36</v>
      </c>
      <c r="E681" s="3" t="s">
        <v>32</v>
      </c>
      <c r="F681" s="3" t="s">
        <v>179</v>
      </c>
      <c r="G681" s="3">
        <v>2016</v>
      </c>
      <c r="H681" s="3" t="str">
        <f>CONCATENATE("64240577250")</f>
        <v>64240577250</v>
      </c>
      <c r="I681" s="3" t="s">
        <v>25</v>
      </c>
      <c r="J681" s="3" t="s">
        <v>26</v>
      </c>
      <c r="K681" s="3" t="str">
        <f t="shared" si="28"/>
        <v/>
      </c>
      <c r="L681" s="3" t="str">
        <f>CONCATENATE("10 10.1 4b")</f>
        <v>10 10.1 4b</v>
      </c>
      <c r="M681" s="3" t="str">
        <f>CONCATENATE("CRBMTT83S22G920I")</f>
        <v>CRBMTT83S22G920I</v>
      </c>
      <c r="N681" s="3" t="s">
        <v>789</v>
      </c>
      <c r="O681" s="3"/>
      <c r="P681" s="4">
        <v>42783</v>
      </c>
      <c r="Q681" s="3" t="s">
        <v>27</v>
      </c>
      <c r="R681" s="3" t="s">
        <v>28</v>
      </c>
      <c r="S681" s="3" t="s">
        <v>29</v>
      </c>
      <c r="T681" s="5">
        <v>2445.21</v>
      </c>
      <c r="U681" s="5">
        <v>1054.3699999999999</v>
      </c>
      <c r="V681" s="3">
        <v>973.68</v>
      </c>
      <c r="W681" s="3">
        <v>417.16</v>
      </c>
    </row>
    <row r="682" spans="1:23" ht="36.75">
      <c r="A682" s="3" t="s">
        <v>23</v>
      </c>
      <c r="B682" s="3" t="s">
        <v>24</v>
      </c>
      <c r="C682" s="3" t="s">
        <v>35</v>
      </c>
      <c r="D682" s="3" t="s">
        <v>36</v>
      </c>
      <c r="E682" s="3" t="s">
        <v>33</v>
      </c>
      <c r="F682" s="3" t="s">
        <v>192</v>
      </c>
      <c r="G682" s="3">
        <v>2016</v>
      </c>
      <c r="H682" s="3" t="str">
        <f>CONCATENATE("64240681219")</f>
        <v>64240681219</v>
      </c>
      <c r="I682" s="3" t="s">
        <v>25</v>
      </c>
      <c r="J682" s="3" t="s">
        <v>26</v>
      </c>
      <c r="K682" s="3" t="str">
        <f t="shared" si="28"/>
        <v/>
      </c>
      <c r="L682" s="3" t="str">
        <f>CONCATENATE("11 11.2 4b")</f>
        <v>11 11.2 4b</v>
      </c>
      <c r="M682" s="3" t="str">
        <f>CONCATENATE("00981850449")</f>
        <v>00981850449</v>
      </c>
      <c r="N682" s="3" t="s">
        <v>790</v>
      </c>
      <c r="O682" s="3"/>
      <c r="P682" s="4">
        <v>42783</v>
      </c>
      <c r="Q682" s="3" t="s">
        <v>27</v>
      </c>
      <c r="R682" s="3" t="s">
        <v>28</v>
      </c>
      <c r="S682" s="3" t="s">
        <v>29</v>
      </c>
      <c r="T682" s="5">
        <v>1249.04</v>
      </c>
      <c r="U682" s="3">
        <v>538.59</v>
      </c>
      <c r="V682" s="3">
        <v>497.37</v>
      </c>
      <c r="W682" s="3">
        <v>213.08</v>
      </c>
    </row>
    <row r="683" spans="1:23" ht="60.75">
      <c r="A683" s="3" t="s">
        <v>23</v>
      </c>
      <c r="B683" s="3" t="s">
        <v>24</v>
      </c>
      <c r="C683" s="3" t="s">
        <v>35</v>
      </c>
      <c r="D683" s="3" t="s">
        <v>48</v>
      </c>
      <c r="E683" s="3" t="s">
        <v>30</v>
      </c>
      <c r="F683" s="3" t="s">
        <v>236</v>
      </c>
      <c r="G683" s="3">
        <v>2016</v>
      </c>
      <c r="H683" s="3" t="str">
        <f>CONCATENATE("64240592705")</f>
        <v>64240592705</v>
      </c>
      <c r="I683" s="3" t="s">
        <v>25</v>
      </c>
      <c r="J683" s="3" t="s">
        <v>26</v>
      </c>
      <c r="K683" s="3" t="str">
        <f t="shared" si="28"/>
        <v/>
      </c>
      <c r="L683" s="3" t="str">
        <f>CONCATENATE("11 11.2 4b")</f>
        <v>11 11.2 4b</v>
      </c>
      <c r="M683" s="3" t="str">
        <f>CONCATENATE("CHRLRA62S07L366U")</f>
        <v>CHRLRA62S07L366U</v>
      </c>
      <c r="N683" s="3" t="s">
        <v>791</v>
      </c>
      <c r="O683" s="3"/>
      <c r="P683" s="4">
        <v>42783</v>
      </c>
      <c r="Q683" s="3" t="s">
        <v>27</v>
      </c>
      <c r="R683" s="3" t="s">
        <v>28</v>
      </c>
      <c r="S683" s="3" t="s">
        <v>29</v>
      </c>
      <c r="T683" s="5">
        <v>6892.54</v>
      </c>
      <c r="U683" s="5">
        <v>2972.06</v>
      </c>
      <c r="V683" s="5">
        <v>2744.61</v>
      </c>
      <c r="W683" s="5">
        <v>1175.8699999999999</v>
      </c>
    </row>
    <row r="684" spans="1:23" ht="60.75">
      <c r="A684" s="3" t="s">
        <v>23</v>
      </c>
      <c r="B684" s="3" t="s">
        <v>24</v>
      </c>
      <c r="C684" s="3" t="s">
        <v>35</v>
      </c>
      <c r="D684" s="3" t="s">
        <v>48</v>
      </c>
      <c r="E684" s="3" t="s">
        <v>30</v>
      </c>
      <c r="F684" s="3" t="s">
        <v>111</v>
      </c>
      <c r="G684" s="3">
        <v>2016</v>
      </c>
      <c r="H684" s="3" t="str">
        <f>CONCATENATE("64210896441")</f>
        <v>64210896441</v>
      </c>
      <c r="I684" s="3" t="s">
        <v>25</v>
      </c>
      <c r="J684" s="3" t="s">
        <v>26</v>
      </c>
      <c r="K684" s="3" t="str">
        <f t="shared" si="28"/>
        <v/>
      </c>
      <c r="L684" s="3" t="str">
        <f>CONCATENATE("13 13.1 4a")</f>
        <v>13 13.1 4a</v>
      </c>
      <c r="M684" s="3" t="str">
        <f>CONCATENATE("PCCRLA62E10L597F")</f>
        <v>PCCRLA62E10L597F</v>
      </c>
      <c r="N684" s="3" t="s">
        <v>112</v>
      </c>
      <c r="O684" s="3"/>
      <c r="P684" s="4">
        <v>42783</v>
      </c>
      <c r="Q684" s="3" t="s">
        <v>27</v>
      </c>
      <c r="R684" s="3" t="s">
        <v>28</v>
      </c>
      <c r="S684" s="3" t="s">
        <v>29</v>
      </c>
      <c r="T684" s="5">
        <v>5400</v>
      </c>
      <c r="U684" s="5">
        <v>2328.48</v>
      </c>
      <c r="V684" s="5">
        <v>2150.2800000000002</v>
      </c>
      <c r="W684" s="3">
        <v>921.24</v>
      </c>
    </row>
    <row r="685" spans="1:23" ht="36.75">
      <c r="A685" s="3" t="s">
        <v>23</v>
      </c>
      <c r="B685" s="3" t="s">
        <v>24</v>
      </c>
      <c r="C685" s="3" t="s">
        <v>35</v>
      </c>
      <c r="D685" s="3" t="s">
        <v>43</v>
      </c>
      <c r="E685" s="3" t="s">
        <v>34</v>
      </c>
      <c r="F685" s="3" t="s">
        <v>792</v>
      </c>
      <c r="G685" s="3">
        <v>2016</v>
      </c>
      <c r="H685" s="3" t="str">
        <f>CONCATENATE("64240927331")</f>
        <v>64240927331</v>
      </c>
      <c r="I685" s="3" t="s">
        <v>25</v>
      </c>
      <c r="J685" s="3" t="s">
        <v>26</v>
      </c>
      <c r="K685" s="3" t="str">
        <f t="shared" si="28"/>
        <v/>
      </c>
      <c r="L685" s="3" t="str">
        <f>CONCATENATE("11 11.2 4b")</f>
        <v>11 11.2 4b</v>
      </c>
      <c r="M685" s="3" t="str">
        <f>CONCATENATE("03612990162")</f>
        <v>03612990162</v>
      </c>
      <c r="N685" s="3" t="s">
        <v>793</v>
      </c>
      <c r="O685" s="3"/>
      <c r="P685" s="4">
        <v>42783</v>
      </c>
      <c r="Q685" s="3" t="s">
        <v>27</v>
      </c>
      <c r="R685" s="3" t="s">
        <v>28</v>
      </c>
      <c r="S685" s="3" t="s">
        <v>29</v>
      </c>
      <c r="T685" s="3">
        <v>84.42</v>
      </c>
      <c r="U685" s="3">
        <v>36.4</v>
      </c>
      <c r="V685" s="3">
        <v>33.619999999999997</v>
      </c>
      <c r="W685" s="3">
        <v>14.4</v>
      </c>
    </row>
    <row r="686" spans="1:23" ht="72.75">
      <c r="A686" s="3" t="s">
        <v>23</v>
      </c>
      <c r="B686" s="3" t="s">
        <v>24</v>
      </c>
      <c r="C686" s="3" t="s">
        <v>35</v>
      </c>
      <c r="D686" s="3" t="s">
        <v>48</v>
      </c>
      <c r="E686" s="3" t="s">
        <v>30</v>
      </c>
      <c r="F686" s="3" t="s">
        <v>91</v>
      </c>
      <c r="G686" s="3">
        <v>2016</v>
      </c>
      <c r="H686" s="3" t="str">
        <f>CONCATENATE("64210595324")</f>
        <v>64210595324</v>
      </c>
      <c r="I686" s="3" t="s">
        <v>25</v>
      </c>
      <c r="J686" s="3" t="s">
        <v>26</v>
      </c>
      <c r="K686" s="3" t="str">
        <f t="shared" ref="K686:K749" si="30">CONCATENATE("")</f>
        <v/>
      </c>
      <c r="L686" s="3" t="str">
        <f>CONCATENATE("13 13.1 4a")</f>
        <v>13 13.1 4a</v>
      </c>
      <c r="M686" s="3" t="str">
        <f>CONCATENATE("TSCDNC49A01D653H")</f>
        <v>TSCDNC49A01D653H</v>
      </c>
      <c r="N686" s="3" t="s">
        <v>794</v>
      </c>
      <c r="O686" s="3"/>
      <c r="P686" s="4">
        <v>42783</v>
      </c>
      <c r="Q686" s="3" t="s">
        <v>27</v>
      </c>
      <c r="R686" s="3" t="s">
        <v>28</v>
      </c>
      <c r="S686" s="3" t="s">
        <v>29</v>
      </c>
      <c r="T686" s="5">
        <v>1884.35</v>
      </c>
      <c r="U686" s="3">
        <v>812.53</v>
      </c>
      <c r="V686" s="3">
        <v>750.35</v>
      </c>
      <c r="W686" s="3">
        <v>321.47000000000003</v>
      </c>
    </row>
    <row r="687" spans="1:23" ht="60.75">
      <c r="A687" s="3" t="s">
        <v>23</v>
      </c>
      <c r="B687" s="3" t="s">
        <v>24</v>
      </c>
      <c r="C687" s="3" t="s">
        <v>35</v>
      </c>
      <c r="D687" s="3" t="s">
        <v>36</v>
      </c>
      <c r="E687" s="3" t="s">
        <v>32</v>
      </c>
      <c r="F687" s="3" t="s">
        <v>208</v>
      </c>
      <c r="G687" s="3">
        <v>2016</v>
      </c>
      <c r="H687" s="3" t="str">
        <f>CONCATENATE("64240235412")</f>
        <v>64240235412</v>
      </c>
      <c r="I687" s="3" t="s">
        <v>25</v>
      </c>
      <c r="J687" s="3" t="s">
        <v>26</v>
      </c>
      <c r="K687" s="3" t="str">
        <f t="shared" si="30"/>
        <v/>
      </c>
      <c r="L687" s="3" t="str">
        <f>CONCATENATE("11 11.2 4b")</f>
        <v>11 11.2 4b</v>
      </c>
      <c r="M687" s="3" t="str">
        <f>CONCATENATE("PRTBNR32T48H321E")</f>
        <v>PRTBNR32T48H321E</v>
      </c>
      <c r="N687" s="3" t="s">
        <v>795</v>
      </c>
      <c r="O687" s="3"/>
      <c r="P687" s="4">
        <v>42783</v>
      </c>
      <c r="Q687" s="3" t="s">
        <v>27</v>
      </c>
      <c r="R687" s="3" t="s">
        <v>28</v>
      </c>
      <c r="S687" s="3" t="s">
        <v>29</v>
      </c>
      <c r="T687" s="3">
        <v>877.55</v>
      </c>
      <c r="U687" s="3">
        <v>378.4</v>
      </c>
      <c r="V687" s="3">
        <v>349.44</v>
      </c>
      <c r="W687" s="3">
        <v>149.71</v>
      </c>
    </row>
    <row r="688" spans="1:23" ht="60.75">
      <c r="A688" s="3" t="s">
        <v>23</v>
      </c>
      <c r="B688" s="3" t="s">
        <v>24</v>
      </c>
      <c r="C688" s="3" t="s">
        <v>35</v>
      </c>
      <c r="D688" s="3" t="s">
        <v>48</v>
      </c>
      <c r="E688" s="3" t="s">
        <v>49</v>
      </c>
      <c r="F688" s="3" t="s">
        <v>50</v>
      </c>
      <c r="G688" s="3">
        <v>2016</v>
      </c>
      <c r="H688" s="3" t="str">
        <f>CONCATENATE("64240266763")</f>
        <v>64240266763</v>
      </c>
      <c r="I688" s="3" t="s">
        <v>31</v>
      </c>
      <c r="J688" s="3" t="s">
        <v>26</v>
      </c>
      <c r="K688" s="3" t="str">
        <f t="shared" si="30"/>
        <v/>
      </c>
      <c r="L688" s="3" t="str">
        <f>CONCATENATE("11 11.1 4b")</f>
        <v>11 11.1 4b</v>
      </c>
      <c r="M688" s="3" t="str">
        <f>CONCATENATE("RNGZLE35H46L366A")</f>
        <v>RNGZLE35H46L366A</v>
      </c>
      <c r="N688" s="3" t="s">
        <v>796</v>
      </c>
      <c r="O688" s="3"/>
      <c r="P688" s="4">
        <v>42783</v>
      </c>
      <c r="Q688" s="3" t="s">
        <v>27</v>
      </c>
      <c r="R688" s="3" t="s">
        <v>28</v>
      </c>
      <c r="S688" s="3" t="s">
        <v>29</v>
      </c>
      <c r="T688" s="5">
        <v>5315.7</v>
      </c>
      <c r="U688" s="5">
        <v>2292.13</v>
      </c>
      <c r="V688" s="5">
        <v>2116.71</v>
      </c>
      <c r="W688" s="3">
        <v>906.86</v>
      </c>
    </row>
    <row r="689" spans="1:23" ht="60.75">
      <c r="A689" s="3" t="s">
        <v>23</v>
      </c>
      <c r="B689" s="3" t="s">
        <v>24</v>
      </c>
      <c r="C689" s="3" t="s">
        <v>35</v>
      </c>
      <c r="D689" s="3" t="s">
        <v>48</v>
      </c>
      <c r="E689" s="3" t="s">
        <v>30</v>
      </c>
      <c r="F689" s="3" t="s">
        <v>257</v>
      </c>
      <c r="G689" s="3">
        <v>2016</v>
      </c>
      <c r="H689" s="3" t="str">
        <f>CONCATENATE("64240585196")</f>
        <v>64240585196</v>
      </c>
      <c r="I689" s="3" t="s">
        <v>25</v>
      </c>
      <c r="J689" s="3" t="s">
        <v>26</v>
      </c>
      <c r="K689" s="3" t="str">
        <f t="shared" si="30"/>
        <v/>
      </c>
      <c r="L689" s="3" t="str">
        <f>CONCATENATE("11 11.2 4b")</f>
        <v>11 11.2 4b</v>
      </c>
      <c r="M689" s="3" t="str">
        <f>CONCATENATE("NTNSLV62P55G515R")</f>
        <v>NTNSLV62P55G515R</v>
      </c>
      <c r="N689" s="3" t="s">
        <v>797</v>
      </c>
      <c r="O689" s="3"/>
      <c r="P689" s="4">
        <v>42783</v>
      </c>
      <c r="Q689" s="3" t="s">
        <v>27</v>
      </c>
      <c r="R689" s="3" t="s">
        <v>28</v>
      </c>
      <c r="S689" s="3" t="s">
        <v>29</v>
      </c>
      <c r="T689" s="5">
        <v>8089.87</v>
      </c>
      <c r="U689" s="5">
        <v>3488.35</v>
      </c>
      <c r="V689" s="5">
        <v>3221.39</v>
      </c>
      <c r="W689" s="5">
        <v>1380.13</v>
      </c>
    </row>
    <row r="690" spans="1:23" ht="60.75">
      <c r="A690" s="3" t="s">
        <v>23</v>
      </c>
      <c r="B690" s="3" t="s">
        <v>24</v>
      </c>
      <c r="C690" s="3" t="s">
        <v>35</v>
      </c>
      <c r="D690" s="3" t="s">
        <v>48</v>
      </c>
      <c r="E690" s="3" t="s">
        <v>49</v>
      </c>
      <c r="F690" s="3" t="s">
        <v>50</v>
      </c>
      <c r="G690" s="3">
        <v>2016</v>
      </c>
      <c r="H690" s="3" t="str">
        <f>CONCATENATE("64210866568")</f>
        <v>64210866568</v>
      </c>
      <c r="I690" s="3" t="s">
        <v>25</v>
      </c>
      <c r="J690" s="3" t="s">
        <v>26</v>
      </c>
      <c r="K690" s="3" t="str">
        <f t="shared" si="30"/>
        <v/>
      </c>
      <c r="L690" s="3" t="str">
        <f>CONCATENATE("13 13.1 4a")</f>
        <v>13 13.1 4a</v>
      </c>
      <c r="M690" s="3" t="str">
        <f>CONCATENATE("BRTGDU85T19B474U")</f>
        <v>BRTGDU85T19B474U</v>
      </c>
      <c r="N690" s="3" t="s">
        <v>798</v>
      </c>
      <c r="O690" s="3"/>
      <c r="P690" s="4">
        <v>42783</v>
      </c>
      <c r="Q690" s="3" t="s">
        <v>27</v>
      </c>
      <c r="R690" s="3" t="s">
        <v>28</v>
      </c>
      <c r="S690" s="3" t="s">
        <v>29</v>
      </c>
      <c r="T690" s="5">
        <v>5400</v>
      </c>
      <c r="U690" s="5">
        <v>2328.48</v>
      </c>
      <c r="V690" s="5">
        <v>2150.2800000000002</v>
      </c>
      <c r="W690" s="3">
        <v>921.24</v>
      </c>
    </row>
    <row r="691" spans="1:23" ht="60.75">
      <c r="A691" s="3" t="s">
        <v>23</v>
      </c>
      <c r="B691" s="3" t="s">
        <v>24</v>
      </c>
      <c r="C691" s="3" t="s">
        <v>35</v>
      </c>
      <c r="D691" s="3" t="s">
        <v>39</v>
      </c>
      <c r="E691" s="3" t="s">
        <v>32</v>
      </c>
      <c r="F691" s="3" t="s">
        <v>355</v>
      </c>
      <c r="G691" s="3">
        <v>2016</v>
      </c>
      <c r="H691" s="3" t="str">
        <f>CONCATENATE("64240588497")</f>
        <v>64240588497</v>
      </c>
      <c r="I691" s="3" t="s">
        <v>25</v>
      </c>
      <c r="J691" s="3" t="s">
        <v>26</v>
      </c>
      <c r="K691" s="3" t="str">
        <f t="shared" si="30"/>
        <v/>
      </c>
      <c r="L691" s="3" t="str">
        <f>CONCATENATE("11 11.2 4b")</f>
        <v>11 11.2 4b</v>
      </c>
      <c r="M691" s="3" t="str">
        <f>CONCATENATE("PLCLNZ73A17G157M")</f>
        <v>PLCLNZ73A17G157M</v>
      </c>
      <c r="N691" s="3" t="s">
        <v>799</v>
      </c>
      <c r="O691" s="3"/>
      <c r="P691" s="4">
        <v>42783</v>
      </c>
      <c r="Q691" s="3" t="s">
        <v>27</v>
      </c>
      <c r="R691" s="3" t="s">
        <v>28</v>
      </c>
      <c r="S691" s="3" t="s">
        <v>29</v>
      </c>
      <c r="T691" s="5">
        <v>1147.76</v>
      </c>
      <c r="U691" s="3">
        <v>494.91</v>
      </c>
      <c r="V691" s="3">
        <v>457.04</v>
      </c>
      <c r="W691" s="3">
        <v>195.81</v>
      </c>
    </row>
    <row r="692" spans="1:23" ht="36.75">
      <c r="A692" s="3" t="s">
        <v>23</v>
      </c>
      <c r="B692" s="3" t="s">
        <v>24</v>
      </c>
      <c r="C692" s="3" t="s">
        <v>35</v>
      </c>
      <c r="D692" s="3" t="s">
        <v>43</v>
      </c>
      <c r="E692" s="3" t="s">
        <v>30</v>
      </c>
      <c r="F692" s="3" t="s">
        <v>124</v>
      </c>
      <c r="G692" s="3">
        <v>2016</v>
      </c>
      <c r="H692" s="3" t="str">
        <f>CONCATENATE("64240631560")</f>
        <v>64240631560</v>
      </c>
      <c r="I692" s="3" t="s">
        <v>25</v>
      </c>
      <c r="J692" s="3" t="s">
        <v>26</v>
      </c>
      <c r="K692" s="3" t="str">
        <f t="shared" si="30"/>
        <v/>
      </c>
      <c r="L692" s="3" t="str">
        <f>CONCATENATE("11 11.2 4b")</f>
        <v>11 11.2 4b</v>
      </c>
      <c r="M692" s="3" t="str">
        <f>CONCATENATE("02069470413")</f>
        <v>02069470413</v>
      </c>
      <c r="N692" s="3" t="s">
        <v>800</v>
      </c>
      <c r="O692" s="3"/>
      <c r="P692" s="4">
        <v>42783</v>
      </c>
      <c r="Q692" s="3" t="s">
        <v>27</v>
      </c>
      <c r="R692" s="3" t="s">
        <v>28</v>
      </c>
      <c r="S692" s="3" t="s">
        <v>29</v>
      </c>
      <c r="T692" s="5">
        <v>1190.2</v>
      </c>
      <c r="U692" s="3">
        <v>513.21</v>
      </c>
      <c r="V692" s="3">
        <v>473.94</v>
      </c>
      <c r="W692" s="3">
        <v>203.05</v>
      </c>
    </row>
    <row r="693" spans="1:23" ht="72.75">
      <c r="A693" s="3" t="s">
        <v>23</v>
      </c>
      <c r="B693" s="3" t="s">
        <v>24</v>
      </c>
      <c r="C693" s="3" t="s">
        <v>35</v>
      </c>
      <c r="D693" s="3" t="s">
        <v>43</v>
      </c>
      <c r="E693" s="3" t="s">
        <v>30</v>
      </c>
      <c r="F693" s="3" t="s">
        <v>131</v>
      </c>
      <c r="G693" s="3">
        <v>2016</v>
      </c>
      <c r="H693" s="3" t="str">
        <f>CONCATENATE("64210930216")</f>
        <v>64210930216</v>
      </c>
      <c r="I693" s="3" t="s">
        <v>25</v>
      </c>
      <c r="J693" s="3" t="s">
        <v>26</v>
      </c>
      <c r="K693" s="3" t="str">
        <f t="shared" si="30"/>
        <v/>
      </c>
      <c r="L693" s="3" t="str">
        <f>CONCATENATE("13 13.1 4a")</f>
        <v>13 13.1 4a</v>
      </c>
      <c r="M693" s="3" t="str">
        <f>CONCATENATE("BRCRND62H10D749N")</f>
        <v>BRCRND62H10D749N</v>
      </c>
      <c r="N693" s="3" t="s">
        <v>801</v>
      </c>
      <c r="O693" s="3"/>
      <c r="P693" s="4">
        <v>42783</v>
      </c>
      <c r="Q693" s="3" t="s">
        <v>27</v>
      </c>
      <c r="R693" s="3" t="s">
        <v>28</v>
      </c>
      <c r="S693" s="3" t="s">
        <v>29</v>
      </c>
      <c r="T693" s="5">
        <v>1909.6</v>
      </c>
      <c r="U693" s="3">
        <v>823.42</v>
      </c>
      <c r="V693" s="3">
        <v>760.4</v>
      </c>
      <c r="W693" s="3">
        <v>325.77999999999997</v>
      </c>
    </row>
    <row r="694" spans="1:23" ht="36.75">
      <c r="A694" s="3" t="s">
        <v>23</v>
      </c>
      <c r="B694" s="3" t="s">
        <v>24</v>
      </c>
      <c r="C694" s="3" t="s">
        <v>35</v>
      </c>
      <c r="D694" s="3" t="s">
        <v>48</v>
      </c>
      <c r="E694" s="3" t="s">
        <v>30</v>
      </c>
      <c r="F694" s="3" t="s">
        <v>91</v>
      </c>
      <c r="G694" s="3">
        <v>2016</v>
      </c>
      <c r="H694" s="3" t="str">
        <f>CONCATENATE("64210547937")</f>
        <v>64210547937</v>
      </c>
      <c r="I694" s="3" t="s">
        <v>25</v>
      </c>
      <c r="J694" s="3" t="s">
        <v>26</v>
      </c>
      <c r="K694" s="3" t="str">
        <f t="shared" si="30"/>
        <v/>
      </c>
      <c r="L694" s="3" t="str">
        <f>CONCATENATE("13 13.1 4a")</f>
        <v>13 13.1 4a</v>
      </c>
      <c r="M694" s="3" t="str">
        <f>CONCATENATE("00607050432")</f>
        <v>00607050432</v>
      </c>
      <c r="N694" s="3" t="s">
        <v>802</v>
      </c>
      <c r="O694" s="3"/>
      <c r="P694" s="4">
        <v>42783</v>
      </c>
      <c r="Q694" s="3" t="s">
        <v>27</v>
      </c>
      <c r="R694" s="3" t="s">
        <v>28</v>
      </c>
      <c r="S694" s="3" t="s">
        <v>29</v>
      </c>
      <c r="T694" s="5">
        <v>3750.97</v>
      </c>
      <c r="U694" s="5">
        <v>1617.42</v>
      </c>
      <c r="V694" s="5">
        <v>1493.64</v>
      </c>
      <c r="W694" s="3">
        <v>639.91</v>
      </c>
    </row>
    <row r="695" spans="1:23" ht="60.75">
      <c r="A695" s="3" t="s">
        <v>23</v>
      </c>
      <c r="B695" s="3" t="s">
        <v>24</v>
      </c>
      <c r="C695" s="3" t="s">
        <v>35</v>
      </c>
      <c r="D695" s="3" t="s">
        <v>48</v>
      </c>
      <c r="E695" s="3" t="s">
        <v>30</v>
      </c>
      <c r="F695" s="3" t="s">
        <v>111</v>
      </c>
      <c r="G695" s="3">
        <v>2016</v>
      </c>
      <c r="H695" s="3" t="str">
        <f>CONCATENATE("64240818845")</f>
        <v>64240818845</v>
      </c>
      <c r="I695" s="3" t="s">
        <v>25</v>
      </c>
      <c r="J695" s="3" t="s">
        <v>26</v>
      </c>
      <c r="K695" s="3" t="str">
        <f t="shared" si="30"/>
        <v/>
      </c>
      <c r="L695" s="3" t="str">
        <f>CONCATENATE("11 11.2 4b")</f>
        <v>11 11.2 4b</v>
      </c>
      <c r="M695" s="3" t="str">
        <f>CONCATENATE("LCRPRZ60B54F567C")</f>
        <v>LCRPRZ60B54F567C</v>
      </c>
      <c r="N695" s="3" t="s">
        <v>803</v>
      </c>
      <c r="O695" s="3"/>
      <c r="P695" s="4">
        <v>42783</v>
      </c>
      <c r="Q695" s="3" t="s">
        <v>27</v>
      </c>
      <c r="R695" s="3" t="s">
        <v>28</v>
      </c>
      <c r="S695" s="3" t="s">
        <v>29</v>
      </c>
      <c r="T695" s="5">
        <v>2634.25</v>
      </c>
      <c r="U695" s="5">
        <v>1135.8900000000001</v>
      </c>
      <c r="V695" s="5">
        <v>1048.96</v>
      </c>
      <c r="W695" s="3">
        <v>449.4</v>
      </c>
    </row>
    <row r="696" spans="1:23" ht="60.75">
      <c r="A696" s="3" t="s">
        <v>23</v>
      </c>
      <c r="B696" s="3" t="s">
        <v>24</v>
      </c>
      <c r="C696" s="3" t="s">
        <v>35</v>
      </c>
      <c r="D696" s="3" t="s">
        <v>39</v>
      </c>
      <c r="E696" s="3" t="s">
        <v>32</v>
      </c>
      <c r="F696" s="3" t="s">
        <v>117</v>
      </c>
      <c r="G696" s="3">
        <v>2016</v>
      </c>
      <c r="H696" s="3" t="str">
        <f>CONCATENATE("64240515177")</f>
        <v>64240515177</v>
      </c>
      <c r="I696" s="3" t="s">
        <v>25</v>
      </c>
      <c r="J696" s="3" t="s">
        <v>26</v>
      </c>
      <c r="K696" s="3" t="str">
        <f t="shared" si="30"/>
        <v/>
      </c>
      <c r="L696" s="3" t="str">
        <f>CONCATENATE("11 11.2 4b")</f>
        <v>11 11.2 4b</v>
      </c>
      <c r="M696" s="3" t="str">
        <f>CONCATENATE("PRSRNZ69E16F401B")</f>
        <v>PRSRNZ69E16F401B</v>
      </c>
      <c r="N696" s="3" t="s">
        <v>804</v>
      </c>
      <c r="O696" s="3"/>
      <c r="P696" s="4">
        <v>42783</v>
      </c>
      <c r="Q696" s="3" t="s">
        <v>27</v>
      </c>
      <c r="R696" s="3" t="s">
        <v>28</v>
      </c>
      <c r="S696" s="3" t="s">
        <v>29</v>
      </c>
      <c r="T696" s="5">
        <v>4010.95</v>
      </c>
      <c r="U696" s="5">
        <v>1729.52</v>
      </c>
      <c r="V696" s="5">
        <v>1597.16</v>
      </c>
      <c r="W696" s="3">
        <v>684.27</v>
      </c>
    </row>
    <row r="697" spans="1:23" ht="60.75">
      <c r="A697" s="3" t="s">
        <v>23</v>
      </c>
      <c r="B697" s="3" t="s">
        <v>24</v>
      </c>
      <c r="C697" s="3" t="s">
        <v>35</v>
      </c>
      <c r="D697" s="3" t="s">
        <v>36</v>
      </c>
      <c r="E697" s="3" t="s">
        <v>33</v>
      </c>
      <c r="F697" s="3" t="s">
        <v>192</v>
      </c>
      <c r="G697" s="3">
        <v>2016</v>
      </c>
      <c r="H697" s="3" t="str">
        <f>CONCATENATE("64240392742")</f>
        <v>64240392742</v>
      </c>
      <c r="I697" s="3" t="s">
        <v>25</v>
      </c>
      <c r="J697" s="3" t="s">
        <v>26</v>
      </c>
      <c r="K697" s="3" t="str">
        <f t="shared" si="30"/>
        <v/>
      </c>
      <c r="L697" s="3" t="str">
        <f>CONCATENATE("11 11.2 4b")</f>
        <v>11 11.2 4b</v>
      </c>
      <c r="M697" s="3" t="str">
        <f>CONCATENATE("GBRLGU36C15H321O")</f>
        <v>GBRLGU36C15H321O</v>
      </c>
      <c r="N697" s="3" t="s">
        <v>805</v>
      </c>
      <c r="O697" s="3"/>
      <c r="P697" s="4">
        <v>42783</v>
      </c>
      <c r="Q697" s="3" t="s">
        <v>27</v>
      </c>
      <c r="R697" s="3" t="s">
        <v>28</v>
      </c>
      <c r="S697" s="3" t="s">
        <v>29</v>
      </c>
      <c r="T697" s="5">
        <v>3441.89</v>
      </c>
      <c r="U697" s="5">
        <v>1484.14</v>
      </c>
      <c r="V697" s="5">
        <v>1370.56</v>
      </c>
      <c r="W697" s="3">
        <v>587.19000000000005</v>
      </c>
    </row>
    <row r="698" spans="1:23" ht="60.75">
      <c r="A698" s="3" t="s">
        <v>23</v>
      </c>
      <c r="B698" s="3" t="s">
        <v>24</v>
      </c>
      <c r="C698" s="3" t="s">
        <v>35</v>
      </c>
      <c r="D698" s="3" t="s">
        <v>48</v>
      </c>
      <c r="E698" s="3" t="s">
        <v>34</v>
      </c>
      <c r="F698" s="3" t="s">
        <v>141</v>
      </c>
      <c r="G698" s="3">
        <v>2016</v>
      </c>
      <c r="H698" s="3" t="str">
        <f>CONCATENATE("64240734224")</f>
        <v>64240734224</v>
      </c>
      <c r="I698" s="3" t="s">
        <v>25</v>
      </c>
      <c r="J698" s="3" t="s">
        <v>26</v>
      </c>
      <c r="K698" s="3" t="str">
        <f t="shared" si="30"/>
        <v/>
      </c>
      <c r="L698" s="3" t="str">
        <f>CONCATENATE("11 11.2 4b")</f>
        <v>11 11.2 4b</v>
      </c>
      <c r="M698" s="3" t="str">
        <f>CONCATENATE("GCMLCU66B28C111M")</f>
        <v>GCMLCU66B28C111M</v>
      </c>
      <c r="N698" s="3" t="s">
        <v>806</v>
      </c>
      <c r="O698" s="3"/>
      <c r="P698" s="4">
        <v>42783</v>
      </c>
      <c r="Q698" s="3" t="s">
        <v>27</v>
      </c>
      <c r="R698" s="3" t="s">
        <v>28</v>
      </c>
      <c r="S698" s="3" t="s">
        <v>29</v>
      </c>
      <c r="T698" s="3">
        <v>861.35</v>
      </c>
      <c r="U698" s="3">
        <v>371.41</v>
      </c>
      <c r="V698" s="3">
        <v>342.99</v>
      </c>
      <c r="W698" s="3">
        <v>146.94999999999999</v>
      </c>
    </row>
    <row r="699" spans="1:23" ht="36.75">
      <c r="A699" s="3" t="s">
        <v>23</v>
      </c>
      <c r="B699" s="3" t="s">
        <v>24</v>
      </c>
      <c r="C699" s="3" t="s">
        <v>35</v>
      </c>
      <c r="D699" s="3" t="s">
        <v>39</v>
      </c>
      <c r="E699" s="3" t="s">
        <v>30</v>
      </c>
      <c r="F699" s="3" t="s">
        <v>84</v>
      </c>
      <c r="G699" s="3">
        <v>2016</v>
      </c>
      <c r="H699" s="3" t="str">
        <f>CONCATENATE("64240716387")</f>
        <v>64240716387</v>
      </c>
      <c r="I699" s="3" t="s">
        <v>25</v>
      </c>
      <c r="J699" s="3" t="s">
        <v>26</v>
      </c>
      <c r="K699" s="3" t="str">
        <f t="shared" si="30"/>
        <v/>
      </c>
      <c r="L699" s="3" t="str">
        <f>CONCATENATE("11 11.2 4b")</f>
        <v>11 11.2 4b</v>
      </c>
      <c r="M699" s="3" t="str">
        <f>CONCATENATE("02398370425")</f>
        <v>02398370425</v>
      </c>
      <c r="N699" s="3" t="s">
        <v>807</v>
      </c>
      <c r="O699" s="3"/>
      <c r="P699" s="4">
        <v>42783</v>
      </c>
      <c r="Q699" s="3" t="s">
        <v>27</v>
      </c>
      <c r="R699" s="3" t="s">
        <v>28</v>
      </c>
      <c r="S699" s="3" t="s">
        <v>29</v>
      </c>
      <c r="T699" s="5">
        <v>4446.82</v>
      </c>
      <c r="U699" s="5">
        <v>1917.47</v>
      </c>
      <c r="V699" s="5">
        <v>1770.72</v>
      </c>
      <c r="W699" s="3">
        <v>758.63</v>
      </c>
    </row>
    <row r="700" spans="1:23" ht="72.75">
      <c r="A700" s="3" t="s">
        <v>23</v>
      </c>
      <c r="B700" s="3" t="s">
        <v>24</v>
      </c>
      <c r="C700" s="3" t="s">
        <v>35</v>
      </c>
      <c r="D700" s="3" t="s">
        <v>43</v>
      </c>
      <c r="E700" s="3" t="s">
        <v>49</v>
      </c>
      <c r="F700" s="3" t="s">
        <v>139</v>
      </c>
      <c r="G700" s="3">
        <v>2016</v>
      </c>
      <c r="H700" s="3" t="str">
        <f>CONCATENATE("64211127754")</f>
        <v>64211127754</v>
      </c>
      <c r="I700" s="3" t="s">
        <v>25</v>
      </c>
      <c r="J700" s="3" t="s">
        <v>26</v>
      </c>
      <c r="K700" s="3" t="str">
        <f t="shared" si="30"/>
        <v/>
      </c>
      <c r="L700" s="3" t="str">
        <f>CONCATENATE("13 13.1 4a")</f>
        <v>13 13.1 4a</v>
      </c>
      <c r="M700" s="3" t="str">
        <f>CONCATENATE("MGNRNZ56M20G479H")</f>
        <v>MGNRNZ56M20G479H</v>
      </c>
      <c r="N700" s="3" t="s">
        <v>787</v>
      </c>
      <c r="O700" s="3"/>
      <c r="P700" s="4">
        <v>42783</v>
      </c>
      <c r="Q700" s="3" t="s">
        <v>27</v>
      </c>
      <c r="R700" s="3" t="s">
        <v>28</v>
      </c>
      <c r="S700" s="3" t="s">
        <v>29</v>
      </c>
      <c r="T700" s="5">
        <v>4590</v>
      </c>
      <c r="U700" s="5">
        <v>1979.21</v>
      </c>
      <c r="V700" s="5">
        <v>1827.74</v>
      </c>
      <c r="W700" s="3">
        <v>783.05</v>
      </c>
    </row>
    <row r="701" spans="1:23" ht="72.75">
      <c r="A701" s="3" t="s">
        <v>23</v>
      </c>
      <c r="B701" s="3" t="s">
        <v>24</v>
      </c>
      <c r="C701" s="3" t="s">
        <v>35</v>
      </c>
      <c r="D701" s="3" t="s">
        <v>36</v>
      </c>
      <c r="E701" s="3" t="s">
        <v>42</v>
      </c>
      <c r="F701" s="3" t="s">
        <v>42</v>
      </c>
      <c r="G701" s="3">
        <v>2016</v>
      </c>
      <c r="H701" s="3" t="str">
        <f>CONCATENATE("64240337713")</f>
        <v>64240337713</v>
      </c>
      <c r="I701" s="3" t="s">
        <v>25</v>
      </c>
      <c r="J701" s="3" t="s">
        <v>26</v>
      </c>
      <c r="K701" s="3" t="str">
        <f t="shared" si="30"/>
        <v/>
      </c>
      <c r="L701" s="3" t="str">
        <f>CONCATENATE("11 11.1 4b")</f>
        <v>11 11.1 4b</v>
      </c>
      <c r="M701" s="3" t="str">
        <f>CONCATENATE("FDLSMN82A30H769Q")</f>
        <v>FDLSMN82A30H769Q</v>
      </c>
      <c r="N701" s="3" t="s">
        <v>808</v>
      </c>
      <c r="O701" s="3"/>
      <c r="P701" s="4">
        <v>42783</v>
      </c>
      <c r="Q701" s="3" t="s">
        <v>27</v>
      </c>
      <c r="R701" s="3" t="s">
        <v>28</v>
      </c>
      <c r="S701" s="3" t="s">
        <v>29</v>
      </c>
      <c r="T701" s="5">
        <v>2261.08</v>
      </c>
      <c r="U701" s="3">
        <v>974.98</v>
      </c>
      <c r="V701" s="3">
        <v>900.36</v>
      </c>
      <c r="W701" s="3">
        <v>385.74</v>
      </c>
    </row>
    <row r="702" spans="1:23" ht="60.75">
      <c r="A702" s="3" t="s">
        <v>23</v>
      </c>
      <c r="B702" s="3" t="s">
        <v>24</v>
      </c>
      <c r="C702" s="3" t="s">
        <v>35</v>
      </c>
      <c r="D702" s="3" t="s">
        <v>48</v>
      </c>
      <c r="E702" s="3" t="s">
        <v>59</v>
      </c>
      <c r="F702" s="3" t="s">
        <v>240</v>
      </c>
      <c r="G702" s="3">
        <v>2016</v>
      </c>
      <c r="H702" s="3" t="str">
        <f>CONCATENATE("64210761827")</f>
        <v>64210761827</v>
      </c>
      <c r="I702" s="3" t="s">
        <v>25</v>
      </c>
      <c r="J702" s="3" t="s">
        <v>26</v>
      </c>
      <c r="K702" s="3" t="str">
        <f t="shared" si="30"/>
        <v/>
      </c>
      <c r="L702" s="3" t="str">
        <f>CONCATENATE("13 13.1 4a")</f>
        <v>13 13.1 4a</v>
      </c>
      <c r="M702" s="3" t="str">
        <f>CONCATENATE("GRNCRD73E01I156S")</f>
        <v>GRNCRD73E01I156S</v>
      </c>
      <c r="N702" s="3" t="s">
        <v>809</v>
      </c>
      <c r="O702" s="3"/>
      <c r="P702" s="4">
        <v>42783</v>
      </c>
      <c r="Q702" s="3" t="s">
        <v>27</v>
      </c>
      <c r="R702" s="3" t="s">
        <v>28</v>
      </c>
      <c r="S702" s="3" t="s">
        <v>29</v>
      </c>
      <c r="T702" s="5">
        <v>3810.64</v>
      </c>
      <c r="U702" s="5">
        <v>1643.15</v>
      </c>
      <c r="V702" s="5">
        <v>1517.4</v>
      </c>
      <c r="W702" s="3">
        <v>650.09</v>
      </c>
    </row>
    <row r="703" spans="1:23" ht="60.75">
      <c r="A703" s="3" t="s">
        <v>23</v>
      </c>
      <c r="B703" s="3" t="s">
        <v>24</v>
      </c>
      <c r="C703" s="3" t="s">
        <v>35</v>
      </c>
      <c r="D703" s="3" t="s">
        <v>39</v>
      </c>
      <c r="E703" s="3" t="s">
        <v>30</v>
      </c>
      <c r="F703" s="3" t="s">
        <v>84</v>
      </c>
      <c r="G703" s="3">
        <v>2016</v>
      </c>
      <c r="H703" s="3" t="str">
        <f>CONCATENATE("64210868945")</f>
        <v>64210868945</v>
      </c>
      <c r="I703" s="3" t="s">
        <v>25</v>
      </c>
      <c r="J703" s="3" t="s">
        <v>26</v>
      </c>
      <c r="K703" s="3" t="str">
        <f t="shared" si="30"/>
        <v/>
      </c>
      <c r="L703" s="3" t="str">
        <f>CONCATENATE("13 13.1 4a")</f>
        <v>13 13.1 4a</v>
      </c>
      <c r="M703" s="3" t="str">
        <f>CONCATENATE("CLOFNC59T04I156X")</f>
        <v>CLOFNC59T04I156X</v>
      </c>
      <c r="N703" s="3" t="s">
        <v>810</v>
      </c>
      <c r="O703" s="3"/>
      <c r="P703" s="4">
        <v>42783</v>
      </c>
      <c r="Q703" s="3" t="s">
        <v>27</v>
      </c>
      <c r="R703" s="3" t="s">
        <v>28</v>
      </c>
      <c r="S703" s="3" t="s">
        <v>29</v>
      </c>
      <c r="T703" s="3">
        <v>553.04999999999995</v>
      </c>
      <c r="U703" s="3">
        <v>238.48</v>
      </c>
      <c r="V703" s="3">
        <v>220.22</v>
      </c>
      <c r="W703" s="3">
        <v>94.35</v>
      </c>
    </row>
    <row r="704" spans="1:23" ht="36.75">
      <c r="A704" s="3" t="s">
        <v>23</v>
      </c>
      <c r="B704" s="3" t="s">
        <v>24</v>
      </c>
      <c r="C704" s="3" t="s">
        <v>35</v>
      </c>
      <c r="D704" s="3" t="s">
        <v>48</v>
      </c>
      <c r="E704" s="3" t="s">
        <v>49</v>
      </c>
      <c r="F704" s="3" t="s">
        <v>50</v>
      </c>
      <c r="G704" s="3">
        <v>2016</v>
      </c>
      <c r="H704" s="3" t="str">
        <f>CONCATENATE("64240429346")</f>
        <v>64240429346</v>
      </c>
      <c r="I704" s="3" t="s">
        <v>25</v>
      </c>
      <c r="J704" s="3" t="s">
        <v>26</v>
      </c>
      <c r="K704" s="3" t="str">
        <f t="shared" si="30"/>
        <v/>
      </c>
      <c r="L704" s="3" t="str">
        <f>CONCATENATE("11 11.1 4b")</f>
        <v>11 11.1 4b</v>
      </c>
      <c r="M704" s="3" t="str">
        <f>CONCATENATE("01914300437")</f>
        <v>01914300437</v>
      </c>
      <c r="N704" s="3" t="s">
        <v>811</v>
      </c>
      <c r="O704" s="3"/>
      <c r="P704" s="4">
        <v>42783</v>
      </c>
      <c r="Q704" s="3" t="s">
        <v>27</v>
      </c>
      <c r="R704" s="3" t="s">
        <v>28</v>
      </c>
      <c r="S704" s="3" t="s">
        <v>29</v>
      </c>
      <c r="T704" s="5">
        <v>1036.2</v>
      </c>
      <c r="U704" s="3">
        <v>446.81</v>
      </c>
      <c r="V704" s="3">
        <v>412.61</v>
      </c>
      <c r="W704" s="3">
        <v>176.78</v>
      </c>
    </row>
    <row r="705" spans="1:23" ht="60.75">
      <c r="A705" s="3" t="s">
        <v>23</v>
      </c>
      <c r="B705" s="3" t="s">
        <v>24</v>
      </c>
      <c r="C705" s="3" t="s">
        <v>35</v>
      </c>
      <c r="D705" s="3" t="s">
        <v>36</v>
      </c>
      <c r="E705" s="3" t="s">
        <v>33</v>
      </c>
      <c r="F705" s="3" t="s">
        <v>89</v>
      </c>
      <c r="G705" s="3">
        <v>2016</v>
      </c>
      <c r="H705" s="3" t="str">
        <f>CONCATENATE("64210406589")</f>
        <v>64210406589</v>
      </c>
      <c r="I705" s="3" t="s">
        <v>25</v>
      </c>
      <c r="J705" s="3" t="s">
        <v>26</v>
      </c>
      <c r="K705" s="3" t="str">
        <f t="shared" si="30"/>
        <v/>
      </c>
      <c r="L705" s="3" t="str">
        <f>CONCATENATE("13 13.1 4a")</f>
        <v>13 13.1 4a</v>
      </c>
      <c r="M705" s="3" t="str">
        <f>CONCATENATE("SLNVTI60B26F509B")</f>
        <v>SLNVTI60B26F509B</v>
      </c>
      <c r="N705" s="3" t="s">
        <v>812</v>
      </c>
      <c r="O705" s="3"/>
      <c r="P705" s="4">
        <v>42783</v>
      </c>
      <c r="Q705" s="3" t="s">
        <v>27</v>
      </c>
      <c r="R705" s="3" t="s">
        <v>28</v>
      </c>
      <c r="S705" s="3" t="s">
        <v>29</v>
      </c>
      <c r="T705" s="3">
        <v>793.86</v>
      </c>
      <c r="U705" s="3">
        <v>342.31</v>
      </c>
      <c r="V705" s="3">
        <v>316.12</v>
      </c>
      <c r="W705" s="3">
        <v>135.43</v>
      </c>
    </row>
    <row r="706" spans="1:23" ht="60.75">
      <c r="A706" s="3" t="s">
        <v>23</v>
      </c>
      <c r="B706" s="3" t="s">
        <v>24</v>
      </c>
      <c r="C706" s="3" t="s">
        <v>35</v>
      </c>
      <c r="D706" s="3" t="s">
        <v>39</v>
      </c>
      <c r="E706" s="3" t="s">
        <v>59</v>
      </c>
      <c r="F706" s="3" t="s">
        <v>457</v>
      </c>
      <c r="G706" s="3">
        <v>2016</v>
      </c>
      <c r="H706" s="3" t="str">
        <f>CONCATENATE("64240710901")</f>
        <v>64240710901</v>
      </c>
      <c r="I706" s="3" t="s">
        <v>25</v>
      </c>
      <c r="J706" s="3" t="s">
        <v>26</v>
      </c>
      <c r="K706" s="3" t="str">
        <f t="shared" si="30"/>
        <v/>
      </c>
      <c r="L706" s="3" t="str">
        <f>CONCATENATE("11 11.2 4b")</f>
        <v>11 11.2 4b</v>
      </c>
      <c r="M706" s="3" t="str">
        <f>CONCATENATE("PSRGDN70C08D597I")</f>
        <v>PSRGDN70C08D597I</v>
      </c>
      <c r="N706" s="3" t="s">
        <v>813</v>
      </c>
      <c r="O706" s="3"/>
      <c r="P706" s="4">
        <v>42783</v>
      </c>
      <c r="Q706" s="3" t="s">
        <v>27</v>
      </c>
      <c r="R706" s="3" t="s">
        <v>28</v>
      </c>
      <c r="S706" s="3" t="s">
        <v>29</v>
      </c>
      <c r="T706" s="3">
        <v>445.52</v>
      </c>
      <c r="U706" s="3">
        <v>192.11</v>
      </c>
      <c r="V706" s="3">
        <v>177.41</v>
      </c>
      <c r="W706" s="3">
        <v>76</v>
      </c>
    </row>
    <row r="707" spans="1:23" ht="60.75">
      <c r="A707" s="3" t="s">
        <v>23</v>
      </c>
      <c r="B707" s="3" t="s">
        <v>24</v>
      </c>
      <c r="C707" s="3" t="s">
        <v>35</v>
      </c>
      <c r="D707" s="3" t="s">
        <v>36</v>
      </c>
      <c r="E707" s="3" t="s">
        <v>42</v>
      </c>
      <c r="F707" s="3" t="s">
        <v>42</v>
      </c>
      <c r="G707" s="3">
        <v>2016</v>
      </c>
      <c r="H707" s="3" t="str">
        <f>CONCATENATE("64240082335")</f>
        <v>64240082335</v>
      </c>
      <c r="I707" s="3" t="s">
        <v>25</v>
      </c>
      <c r="J707" s="3" t="s">
        <v>26</v>
      </c>
      <c r="K707" s="3" t="str">
        <f t="shared" si="30"/>
        <v/>
      </c>
      <c r="L707" s="3" t="str">
        <f>CONCATENATE("11 11.2 4b")</f>
        <v>11 11.2 4b</v>
      </c>
      <c r="M707" s="3" t="str">
        <f>CONCATENATE("DRNLEI36S28B727Z")</f>
        <v>DRNLEI36S28B727Z</v>
      </c>
      <c r="N707" s="3" t="s">
        <v>814</v>
      </c>
      <c r="O707" s="3"/>
      <c r="P707" s="4">
        <v>42783</v>
      </c>
      <c r="Q707" s="3" t="s">
        <v>27</v>
      </c>
      <c r="R707" s="3" t="s">
        <v>28</v>
      </c>
      <c r="S707" s="3" t="s">
        <v>29</v>
      </c>
      <c r="T707" s="5">
        <v>5025.78</v>
      </c>
      <c r="U707" s="5">
        <v>2167.12</v>
      </c>
      <c r="V707" s="5">
        <v>2001.27</v>
      </c>
      <c r="W707" s="3">
        <v>857.39</v>
      </c>
    </row>
    <row r="708" spans="1:23" ht="72.75">
      <c r="A708" s="3" t="s">
        <v>23</v>
      </c>
      <c r="B708" s="3" t="s">
        <v>24</v>
      </c>
      <c r="C708" s="3" t="s">
        <v>35</v>
      </c>
      <c r="D708" s="3" t="s">
        <v>48</v>
      </c>
      <c r="E708" s="3" t="s">
        <v>49</v>
      </c>
      <c r="F708" s="3" t="s">
        <v>80</v>
      </c>
      <c r="G708" s="3">
        <v>2016</v>
      </c>
      <c r="H708" s="3" t="str">
        <f>CONCATENATE("64210847055")</f>
        <v>64210847055</v>
      </c>
      <c r="I708" s="3" t="s">
        <v>25</v>
      </c>
      <c r="J708" s="3" t="s">
        <v>26</v>
      </c>
      <c r="K708" s="3" t="str">
        <f t="shared" si="30"/>
        <v/>
      </c>
      <c r="L708" s="3" t="str">
        <f>CONCATENATE("13 13.1 4a")</f>
        <v>13 13.1 4a</v>
      </c>
      <c r="M708" s="3" t="str">
        <f>CONCATENATE("BTTRCR63D03G657R")</f>
        <v>BTTRCR63D03G657R</v>
      </c>
      <c r="N708" s="3" t="s">
        <v>815</v>
      </c>
      <c r="O708" s="3"/>
      <c r="P708" s="4">
        <v>42783</v>
      </c>
      <c r="Q708" s="3" t="s">
        <v>27</v>
      </c>
      <c r="R708" s="3" t="s">
        <v>28</v>
      </c>
      <c r="S708" s="3" t="s">
        <v>29</v>
      </c>
      <c r="T708" s="5">
        <v>4357.68</v>
      </c>
      <c r="U708" s="5">
        <v>1879.03</v>
      </c>
      <c r="V708" s="5">
        <v>1735.23</v>
      </c>
      <c r="W708" s="3">
        <v>743.42</v>
      </c>
    </row>
    <row r="709" spans="1:23" ht="72.75">
      <c r="A709" s="3" t="s">
        <v>23</v>
      </c>
      <c r="B709" s="3" t="s">
        <v>24</v>
      </c>
      <c r="C709" s="3" t="s">
        <v>35</v>
      </c>
      <c r="D709" s="3" t="s">
        <v>39</v>
      </c>
      <c r="E709" s="3" t="s">
        <v>32</v>
      </c>
      <c r="F709" s="3" t="s">
        <v>69</v>
      </c>
      <c r="G709" s="3">
        <v>2016</v>
      </c>
      <c r="H709" s="3" t="str">
        <f>CONCATENATE("64240590147")</f>
        <v>64240590147</v>
      </c>
      <c r="I709" s="3" t="s">
        <v>25</v>
      </c>
      <c r="J709" s="3" t="s">
        <v>26</v>
      </c>
      <c r="K709" s="3" t="str">
        <f t="shared" si="30"/>
        <v/>
      </c>
      <c r="L709" s="3" t="str">
        <f>CONCATENATE("10 10.1 4a")</f>
        <v>10 10.1 4a</v>
      </c>
      <c r="M709" s="3" t="str">
        <f>CONCATENATE("MNTMRN60P23A366D")</f>
        <v>MNTMRN60P23A366D</v>
      </c>
      <c r="N709" s="3" t="s">
        <v>816</v>
      </c>
      <c r="O709" s="3"/>
      <c r="P709" s="4">
        <v>42783</v>
      </c>
      <c r="Q709" s="3" t="s">
        <v>27</v>
      </c>
      <c r="R709" s="3" t="s">
        <v>28</v>
      </c>
      <c r="S709" s="3" t="s">
        <v>29</v>
      </c>
      <c r="T709" s="5">
        <v>5486.81</v>
      </c>
      <c r="U709" s="5">
        <v>2365.91</v>
      </c>
      <c r="V709" s="5">
        <v>2184.85</v>
      </c>
      <c r="W709" s="3">
        <v>936.05</v>
      </c>
    </row>
    <row r="710" spans="1:23" ht="36.75">
      <c r="A710" s="3" t="s">
        <v>23</v>
      </c>
      <c r="B710" s="3" t="s">
        <v>24</v>
      </c>
      <c r="C710" s="3" t="s">
        <v>35</v>
      </c>
      <c r="D710" s="3" t="s">
        <v>43</v>
      </c>
      <c r="E710" s="3" t="s">
        <v>30</v>
      </c>
      <c r="F710" s="3" t="s">
        <v>124</v>
      </c>
      <c r="G710" s="3">
        <v>2016</v>
      </c>
      <c r="H710" s="3" t="str">
        <f>CONCATENATE("64210458903")</f>
        <v>64210458903</v>
      </c>
      <c r="I710" s="3" t="s">
        <v>25</v>
      </c>
      <c r="J710" s="3" t="s">
        <v>26</v>
      </c>
      <c r="K710" s="3" t="str">
        <f t="shared" si="30"/>
        <v/>
      </c>
      <c r="L710" s="3" t="str">
        <f>CONCATENATE("13 13.1 4a")</f>
        <v>13 13.1 4a</v>
      </c>
      <c r="M710" s="3" t="str">
        <f>CONCATENATE("00603800418")</f>
        <v>00603800418</v>
      </c>
      <c r="N710" s="3" t="s">
        <v>817</v>
      </c>
      <c r="O710" s="3"/>
      <c r="P710" s="4">
        <v>42783</v>
      </c>
      <c r="Q710" s="3" t="s">
        <v>27</v>
      </c>
      <c r="R710" s="3" t="s">
        <v>28</v>
      </c>
      <c r="S710" s="3" t="s">
        <v>29</v>
      </c>
      <c r="T710" s="5">
        <v>3151.87</v>
      </c>
      <c r="U710" s="5">
        <v>1359.09</v>
      </c>
      <c r="V710" s="5">
        <v>1255.07</v>
      </c>
      <c r="W710" s="3">
        <v>537.71</v>
      </c>
    </row>
    <row r="711" spans="1:23" ht="60.75">
      <c r="A711" s="3" t="s">
        <v>23</v>
      </c>
      <c r="B711" s="3" t="s">
        <v>24</v>
      </c>
      <c r="C711" s="3" t="s">
        <v>35</v>
      </c>
      <c r="D711" s="3" t="s">
        <v>43</v>
      </c>
      <c r="E711" s="3" t="s">
        <v>32</v>
      </c>
      <c r="F711" s="3" t="s">
        <v>119</v>
      </c>
      <c r="G711" s="3">
        <v>2016</v>
      </c>
      <c r="H711" s="3" t="str">
        <f>CONCATENATE("64240142295")</f>
        <v>64240142295</v>
      </c>
      <c r="I711" s="3" t="s">
        <v>25</v>
      </c>
      <c r="J711" s="3" t="s">
        <v>26</v>
      </c>
      <c r="K711" s="3" t="str">
        <f t="shared" si="30"/>
        <v/>
      </c>
      <c r="L711" s="3" t="str">
        <f>CONCATENATE("10 10.1 4a")</f>
        <v>10 10.1 4a</v>
      </c>
      <c r="M711" s="3" t="str">
        <f>CONCATENATE("CRDTNI53S49D791C")</f>
        <v>CRDTNI53S49D791C</v>
      </c>
      <c r="N711" s="3" t="s">
        <v>818</v>
      </c>
      <c r="O711" s="3"/>
      <c r="P711" s="4">
        <v>42783</v>
      </c>
      <c r="Q711" s="3" t="s">
        <v>27</v>
      </c>
      <c r="R711" s="3" t="s">
        <v>28</v>
      </c>
      <c r="S711" s="3" t="s">
        <v>29</v>
      </c>
      <c r="T711" s="3">
        <v>356.4</v>
      </c>
      <c r="U711" s="3">
        <v>153.68</v>
      </c>
      <c r="V711" s="3">
        <v>141.91999999999999</v>
      </c>
      <c r="W711" s="3">
        <v>60.8</v>
      </c>
    </row>
    <row r="712" spans="1:23" ht="36.75">
      <c r="A712" s="3" t="s">
        <v>23</v>
      </c>
      <c r="B712" s="3" t="s">
        <v>24</v>
      </c>
      <c r="C712" s="3" t="s">
        <v>35</v>
      </c>
      <c r="D712" s="3" t="s">
        <v>39</v>
      </c>
      <c r="E712" s="3" t="s">
        <v>34</v>
      </c>
      <c r="F712" s="3" t="s">
        <v>170</v>
      </c>
      <c r="G712" s="3">
        <v>2016</v>
      </c>
      <c r="H712" s="3" t="str">
        <f>CONCATENATE("64240655213")</f>
        <v>64240655213</v>
      </c>
      <c r="I712" s="3" t="s">
        <v>25</v>
      </c>
      <c r="J712" s="3" t="s">
        <v>26</v>
      </c>
      <c r="K712" s="3" t="str">
        <f t="shared" si="30"/>
        <v/>
      </c>
      <c r="L712" s="3" t="str">
        <f>CONCATENATE("11 11.2 4b")</f>
        <v>11 11.2 4b</v>
      </c>
      <c r="M712" s="3" t="str">
        <f>CONCATENATE("02103190423")</f>
        <v>02103190423</v>
      </c>
      <c r="N712" s="3" t="s">
        <v>819</v>
      </c>
      <c r="O712" s="3"/>
      <c r="P712" s="4">
        <v>42783</v>
      </c>
      <c r="Q712" s="3" t="s">
        <v>27</v>
      </c>
      <c r="R712" s="3" t="s">
        <v>28</v>
      </c>
      <c r="S712" s="3" t="s">
        <v>29</v>
      </c>
      <c r="T712" s="5">
        <v>1543.84</v>
      </c>
      <c r="U712" s="3">
        <v>665.7</v>
      </c>
      <c r="V712" s="3">
        <v>614.76</v>
      </c>
      <c r="W712" s="3">
        <v>263.38</v>
      </c>
    </row>
    <row r="713" spans="1:23" ht="36.75">
      <c r="A713" s="3" t="s">
        <v>23</v>
      </c>
      <c r="B713" s="3" t="s">
        <v>24</v>
      </c>
      <c r="C713" s="3" t="s">
        <v>35</v>
      </c>
      <c r="D713" s="3" t="s">
        <v>36</v>
      </c>
      <c r="E713" s="3" t="s">
        <v>30</v>
      </c>
      <c r="F713" s="3" t="s">
        <v>257</v>
      </c>
      <c r="G713" s="3">
        <v>2016</v>
      </c>
      <c r="H713" s="3" t="str">
        <f>CONCATENATE("64240466116")</f>
        <v>64240466116</v>
      </c>
      <c r="I713" s="3" t="s">
        <v>25</v>
      </c>
      <c r="J713" s="3" t="s">
        <v>26</v>
      </c>
      <c r="K713" s="3" t="str">
        <f t="shared" si="30"/>
        <v/>
      </c>
      <c r="L713" s="3" t="str">
        <f>CONCATENATE("11 11.2 4b")</f>
        <v>11 11.2 4b</v>
      </c>
      <c r="M713" s="3" t="str">
        <f>CONCATENATE("01183280443")</f>
        <v>01183280443</v>
      </c>
      <c r="N713" s="3" t="s">
        <v>820</v>
      </c>
      <c r="O713" s="3"/>
      <c r="P713" s="4">
        <v>42783</v>
      </c>
      <c r="Q713" s="3" t="s">
        <v>27</v>
      </c>
      <c r="R713" s="3" t="s">
        <v>28</v>
      </c>
      <c r="S713" s="3" t="s">
        <v>29</v>
      </c>
      <c r="T713" s="5">
        <v>4049.56</v>
      </c>
      <c r="U713" s="5">
        <v>1746.17</v>
      </c>
      <c r="V713" s="5">
        <v>1612.53</v>
      </c>
      <c r="W713" s="3">
        <v>690.86</v>
      </c>
    </row>
    <row r="714" spans="1:23" ht="36.75">
      <c r="A714" s="3" t="s">
        <v>23</v>
      </c>
      <c r="B714" s="3" t="s">
        <v>24</v>
      </c>
      <c r="C714" s="3" t="s">
        <v>35</v>
      </c>
      <c r="D714" s="3" t="s">
        <v>36</v>
      </c>
      <c r="E714" s="3" t="s">
        <v>59</v>
      </c>
      <c r="F714" s="3" t="s">
        <v>62</v>
      </c>
      <c r="G714" s="3">
        <v>2016</v>
      </c>
      <c r="H714" s="3" t="str">
        <f>CONCATENATE("64240622965")</f>
        <v>64240622965</v>
      </c>
      <c r="I714" s="3" t="s">
        <v>25</v>
      </c>
      <c r="J714" s="3" t="s">
        <v>26</v>
      </c>
      <c r="K714" s="3" t="str">
        <f t="shared" si="30"/>
        <v/>
      </c>
      <c r="L714" s="3" t="str">
        <f>CONCATENATE("11 11.2 4b")</f>
        <v>11 11.2 4b</v>
      </c>
      <c r="M714" s="3" t="str">
        <f>CONCATENATE("00491220448")</f>
        <v>00491220448</v>
      </c>
      <c r="N714" s="3" t="s">
        <v>821</v>
      </c>
      <c r="O714" s="3"/>
      <c r="P714" s="4">
        <v>42783</v>
      </c>
      <c r="Q714" s="3" t="s">
        <v>27</v>
      </c>
      <c r="R714" s="3" t="s">
        <v>28</v>
      </c>
      <c r="S714" s="3" t="s">
        <v>29</v>
      </c>
      <c r="T714" s="5">
        <v>8467.94</v>
      </c>
      <c r="U714" s="5">
        <v>3651.38</v>
      </c>
      <c r="V714" s="5">
        <v>3371.93</v>
      </c>
      <c r="W714" s="5">
        <v>1444.63</v>
      </c>
    </row>
    <row r="715" spans="1:23" ht="36.75">
      <c r="A715" s="3" t="s">
        <v>23</v>
      </c>
      <c r="B715" s="3" t="s">
        <v>24</v>
      </c>
      <c r="C715" s="3" t="s">
        <v>35</v>
      </c>
      <c r="D715" s="3" t="s">
        <v>39</v>
      </c>
      <c r="E715" s="3" t="s">
        <v>42</v>
      </c>
      <c r="F715" s="3" t="s">
        <v>42</v>
      </c>
      <c r="G715" s="3">
        <v>2016</v>
      </c>
      <c r="H715" s="3" t="str">
        <f>CONCATENATE("64240288023")</f>
        <v>64240288023</v>
      </c>
      <c r="I715" s="3" t="s">
        <v>25</v>
      </c>
      <c r="J715" s="3" t="s">
        <v>26</v>
      </c>
      <c r="K715" s="3" t="str">
        <f t="shared" si="30"/>
        <v/>
      </c>
      <c r="L715" s="3" t="str">
        <f>CONCATENATE("11 11.1 4b")</f>
        <v>11 11.1 4b</v>
      </c>
      <c r="M715" s="3" t="str">
        <f>CONCATENATE("01419970429")</f>
        <v>01419970429</v>
      </c>
      <c r="N715" s="3" t="s">
        <v>822</v>
      </c>
      <c r="O715" s="3"/>
      <c r="P715" s="4">
        <v>42783</v>
      </c>
      <c r="Q715" s="3" t="s">
        <v>27</v>
      </c>
      <c r="R715" s="3" t="s">
        <v>28</v>
      </c>
      <c r="S715" s="3" t="s">
        <v>29</v>
      </c>
      <c r="T715" s="5">
        <v>48929.52</v>
      </c>
      <c r="U715" s="5">
        <v>21098.41</v>
      </c>
      <c r="V715" s="5">
        <v>19483.73</v>
      </c>
      <c r="W715" s="5">
        <v>8347.3799999999992</v>
      </c>
    </row>
    <row r="716" spans="1:23" ht="36.75">
      <c r="A716" s="3" t="s">
        <v>23</v>
      </c>
      <c r="B716" s="3" t="s">
        <v>24</v>
      </c>
      <c r="C716" s="3" t="s">
        <v>35</v>
      </c>
      <c r="D716" s="3" t="s">
        <v>43</v>
      </c>
      <c r="E716" s="3" t="s">
        <v>30</v>
      </c>
      <c r="F716" s="3" t="s">
        <v>533</v>
      </c>
      <c r="G716" s="3">
        <v>2016</v>
      </c>
      <c r="H716" s="3" t="str">
        <f>CONCATENATE("64210866782")</f>
        <v>64210866782</v>
      </c>
      <c r="I716" s="3" t="s">
        <v>25</v>
      </c>
      <c r="J716" s="3" t="s">
        <v>26</v>
      </c>
      <c r="K716" s="3" t="str">
        <f t="shared" si="30"/>
        <v/>
      </c>
      <c r="L716" s="3" t="str">
        <f>CONCATENATE("13 13.1 4a")</f>
        <v>13 13.1 4a</v>
      </c>
      <c r="M716" s="3" t="str">
        <f>CONCATENATE("02253870410")</f>
        <v>02253870410</v>
      </c>
      <c r="N716" s="3" t="s">
        <v>823</v>
      </c>
      <c r="O716" s="3"/>
      <c r="P716" s="4">
        <v>42783</v>
      </c>
      <c r="Q716" s="3" t="s">
        <v>27</v>
      </c>
      <c r="R716" s="3" t="s">
        <v>28</v>
      </c>
      <c r="S716" s="3" t="s">
        <v>29</v>
      </c>
      <c r="T716" s="5">
        <v>4314.58</v>
      </c>
      <c r="U716" s="5">
        <v>1860.45</v>
      </c>
      <c r="V716" s="5">
        <v>1718.07</v>
      </c>
      <c r="W716" s="3">
        <v>736.06</v>
      </c>
    </row>
    <row r="717" spans="1:23" ht="60.75">
      <c r="A717" s="3" t="s">
        <v>23</v>
      </c>
      <c r="B717" s="3" t="s">
        <v>24</v>
      </c>
      <c r="C717" s="3" t="s">
        <v>35</v>
      </c>
      <c r="D717" s="3" t="s">
        <v>48</v>
      </c>
      <c r="E717" s="3" t="s">
        <v>30</v>
      </c>
      <c r="F717" s="3" t="s">
        <v>57</v>
      </c>
      <c r="G717" s="3">
        <v>2016</v>
      </c>
      <c r="H717" s="3" t="str">
        <f>CONCATENATE("64240492443")</f>
        <v>64240492443</v>
      </c>
      <c r="I717" s="3" t="s">
        <v>25</v>
      </c>
      <c r="J717" s="3" t="s">
        <v>26</v>
      </c>
      <c r="K717" s="3" t="str">
        <f t="shared" si="30"/>
        <v/>
      </c>
      <c r="L717" s="3" t="str">
        <f>CONCATENATE("11 11.2 4b")</f>
        <v>11 11.2 4b</v>
      </c>
      <c r="M717" s="3" t="str">
        <f>CONCATENATE("DRSGBR60D25C321D")</f>
        <v>DRSGBR60D25C321D</v>
      </c>
      <c r="N717" s="3" t="s">
        <v>825</v>
      </c>
      <c r="O717" s="3"/>
      <c r="P717" s="4">
        <v>42783</v>
      </c>
      <c r="Q717" s="3" t="s">
        <v>27</v>
      </c>
      <c r="R717" s="3" t="s">
        <v>28</v>
      </c>
      <c r="S717" s="3" t="s">
        <v>29</v>
      </c>
      <c r="T717" s="5">
        <v>1143.19</v>
      </c>
      <c r="U717" s="3">
        <v>492.94</v>
      </c>
      <c r="V717" s="3">
        <v>455.22</v>
      </c>
      <c r="W717" s="3">
        <v>195.03</v>
      </c>
    </row>
    <row r="718" spans="1:23" ht="60.75">
      <c r="A718" s="3" t="s">
        <v>23</v>
      </c>
      <c r="B718" s="3" t="s">
        <v>24</v>
      </c>
      <c r="C718" s="3" t="s">
        <v>35</v>
      </c>
      <c r="D718" s="3" t="s">
        <v>48</v>
      </c>
      <c r="E718" s="3" t="s">
        <v>32</v>
      </c>
      <c r="F718" s="3" t="s">
        <v>129</v>
      </c>
      <c r="G718" s="3">
        <v>2016</v>
      </c>
      <c r="H718" s="3" t="str">
        <f>CONCATENATE("64240672507")</f>
        <v>64240672507</v>
      </c>
      <c r="I718" s="3" t="s">
        <v>25</v>
      </c>
      <c r="J718" s="3" t="s">
        <v>26</v>
      </c>
      <c r="K718" s="3" t="str">
        <f t="shared" si="30"/>
        <v/>
      </c>
      <c r="L718" s="3" t="str">
        <f>CONCATENATE("11 11.2 4b")</f>
        <v>11 11.2 4b</v>
      </c>
      <c r="M718" s="3" t="str">
        <f>CONCATENATE("MCCNTN48D05F567N")</f>
        <v>MCCNTN48D05F567N</v>
      </c>
      <c r="N718" s="3" t="s">
        <v>826</v>
      </c>
      <c r="O718" s="3"/>
      <c r="P718" s="4">
        <v>42783</v>
      </c>
      <c r="Q718" s="3" t="s">
        <v>27</v>
      </c>
      <c r="R718" s="3" t="s">
        <v>28</v>
      </c>
      <c r="S718" s="3" t="s">
        <v>29</v>
      </c>
      <c r="T718" s="5">
        <v>1180.24</v>
      </c>
      <c r="U718" s="3">
        <v>508.92</v>
      </c>
      <c r="V718" s="3">
        <v>469.97</v>
      </c>
      <c r="W718" s="3">
        <v>201.35</v>
      </c>
    </row>
    <row r="719" spans="1:23" ht="60.75">
      <c r="A719" s="3" t="s">
        <v>23</v>
      </c>
      <c r="B719" s="3" t="s">
        <v>24</v>
      </c>
      <c r="C719" s="3" t="s">
        <v>35</v>
      </c>
      <c r="D719" s="3" t="s">
        <v>39</v>
      </c>
      <c r="E719" s="3" t="s">
        <v>33</v>
      </c>
      <c r="F719" s="3" t="s">
        <v>498</v>
      </c>
      <c r="G719" s="3">
        <v>2016</v>
      </c>
      <c r="H719" s="3" t="str">
        <f>CONCATENATE("64240078432")</f>
        <v>64240078432</v>
      </c>
      <c r="I719" s="3" t="s">
        <v>25</v>
      </c>
      <c r="J719" s="3" t="s">
        <v>26</v>
      </c>
      <c r="K719" s="3" t="str">
        <f t="shared" si="30"/>
        <v/>
      </c>
      <c r="L719" s="3" t="str">
        <f>CONCATENATE("11 11.2 4b")</f>
        <v>11 11.2 4b</v>
      </c>
      <c r="M719" s="3" t="str">
        <f>CONCATENATE("FRRRNG41S28D451L")</f>
        <v>FRRRNG41S28D451L</v>
      </c>
      <c r="N719" s="3" t="s">
        <v>827</v>
      </c>
      <c r="O719" s="3"/>
      <c r="P719" s="4">
        <v>42783</v>
      </c>
      <c r="Q719" s="3" t="s">
        <v>27</v>
      </c>
      <c r="R719" s="3" t="s">
        <v>28</v>
      </c>
      <c r="S719" s="3" t="s">
        <v>29</v>
      </c>
      <c r="T719" s="5">
        <v>6030.93</v>
      </c>
      <c r="U719" s="5">
        <v>2600.54</v>
      </c>
      <c r="V719" s="5">
        <v>2401.52</v>
      </c>
      <c r="W719" s="5">
        <v>1028.8699999999999</v>
      </c>
    </row>
    <row r="720" spans="1:23" ht="72.75">
      <c r="A720" s="3" t="s">
        <v>23</v>
      </c>
      <c r="B720" s="3" t="s">
        <v>24</v>
      </c>
      <c r="C720" s="3" t="s">
        <v>35</v>
      </c>
      <c r="D720" s="3" t="s">
        <v>48</v>
      </c>
      <c r="E720" s="3" t="s">
        <v>30</v>
      </c>
      <c r="F720" s="3" t="s">
        <v>91</v>
      </c>
      <c r="G720" s="3">
        <v>2016</v>
      </c>
      <c r="H720" s="3" t="str">
        <f>CONCATENATE("64210515330")</f>
        <v>64210515330</v>
      </c>
      <c r="I720" s="3" t="s">
        <v>25</v>
      </c>
      <c r="J720" s="3" t="s">
        <v>26</v>
      </c>
      <c r="K720" s="3" t="str">
        <f t="shared" si="30"/>
        <v/>
      </c>
      <c r="L720" s="3" t="str">
        <f>CONCATENATE("13 13.1 4a")</f>
        <v>13 13.1 4a</v>
      </c>
      <c r="M720" s="3" t="str">
        <f>CONCATENATE("FDEMRZ57M17D564B")</f>
        <v>FDEMRZ57M17D564B</v>
      </c>
      <c r="N720" s="3" t="s">
        <v>828</v>
      </c>
      <c r="O720" s="3"/>
      <c r="P720" s="4">
        <v>42783</v>
      </c>
      <c r="Q720" s="3" t="s">
        <v>27</v>
      </c>
      <c r="R720" s="3" t="s">
        <v>28</v>
      </c>
      <c r="S720" s="3" t="s">
        <v>29</v>
      </c>
      <c r="T720" s="5">
        <v>1486.87</v>
      </c>
      <c r="U720" s="3">
        <v>641.14</v>
      </c>
      <c r="V720" s="3">
        <v>592.07000000000005</v>
      </c>
      <c r="W720" s="3">
        <v>253.66</v>
      </c>
    </row>
    <row r="721" spans="1:23" ht="60.75">
      <c r="A721" s="3" t="s">
        <v>23</v>
      </c>
      <c r="B721" s="3" t="s">
        <v>24</v>
      </c>
      <c r="C721" s="3" t="s">
        <v>35</v>
      </c>
      <c r="D721" s="3" t="s">
        <v>36</v>
      </c>
      <c r="E721" s="3" t="s">
        <v>30</v>
      </c>
      <c r="F721" s="3" t="s">
        <v>37</v>
      </c>
      <c r="G721" s="3">
        <v>2016</v>
      </c>
      <c r="H721" s="3" t="str">
        <f>CONCATENATE("64210749350")</f>
        <v>64210749350</v>
      </c>
      <c r="I721" s="3" t="s">
        <v>25</v>
      </c>
      <c r="J721" s="3" t="s">
        <v>26</v>
      </c>
      <c r="K721" s="3" t="str">
        <f t="shared" si="30"/>
        <v/>
      </c>
      <c r="L721" s="3" t="str">
        <f>CONCATENATE("13 13.1 4a")</f>
        <v>13 13.1 4a</v>
      </c>
      <c r="M721" s="3" t="str">
        <f>CONCATENATE("PRTMCS65P50F570U")</f>
        <v>PRTMCS65P50F570U</v>
      </c>
      <c r="N721" s="3" t="s">
        <v>829</v>
      </c>
      <c r="O721" s="3"/>
      <c r="P721" s="4">
        <v>42783</v>
      </c>
      <c r="Q721" s="3" t="s">
        <v>27</v>
      </c>
      <c r="R721" s="3" t="s">
        <v>28</v>
      </c>
      <c r="S721" s="3" t="s">
        <v>29</v>
      </c>
      <c r="T721" s="3">
        <v>699.86</v>
      </c>
      <c r="U721" s="3">
        <v>301.77999999999997</v>
      </c>
      <c r="V721" s="3">
        <v>278.68</v>
      </c>
      <c r="W721" s="3">
        <v>119.4</v>
      </c>
    </row>
    <row r="722" spans="1:23" ht="60.75">
      <c r="A722" s="3" t="s">
        <v>23</v>
      </c>
      <c r="B722" s="3" t="s">
        <v>24</v>
      </c>
      <c r="C722" s="3" t="s">
        <v>35</v>
      </c>
      <c r="D722" s="3" t="s">
        <v>36</v>
      </c>
      <c r="E722" s="3" t="s">
        <v>59</v>
      </c>
      <c r="F722" s="3" t="s">
        <v>62</v>
      </c>
      <c r="G722" s="3">
        <v>2016</v>
      </c>
      <c r="H722" s="3" t="str">
        <f>CONCATENATE("64240905568")</f>
        <v>64240905568</v>
      </c>
      <c r="I722" s="3" t="s">
        <v>25</v>
      </c>
      <c r="J722" s="3" t="s">
        <v>26</v>
      </c>
      <c r="K722" s="3" t="str">
        <f t="shared" si="30"/>
        <v/>
      </c>
      <c r="L722" s="3" t="str">
        <f>CONCATENATE("11 11.2 4b")</f>
        <v>11 11.2 4b</v>
      </c>
      <c r="M722" s="3" t="str">
        <f>CONCATENATE("NSPSNT35P29G005A")</f>
        <v>NSPSNT35P29G005A</v>
      </c>
      <c r="N722" s="3" t="s">
        <v>830</v>
      </c>
      <c r="O722" s="3"/>
      <c r="P722" s="4">
        <v>42783</v>
      </c>
      <c r="Q722" s="3" t="s">
        <v>27</v>
      </c>
      <c r="R722" s="3" t="s">
        <v>28</v>
      </c>
      <c r="S722" s="3" t="s">
        <v>29</v>
      </c>
      <c r="T722" s="5">
        <v>1917.5</v>
      </c>
      <c r="U722" s="3">
        <v>826.83</v>
      </c>
      <c r="V722" s="3">
        <v>763.55</v>
      </c>
      <c r="W722" s="3">
        <v>327.12</v>
      </c>
    </row>
    <row r="723" spans="1:23" ht="36.75">
      <c r="A723" s="3" t="s">
        <v>23</v>
      </c>
      <c r="B723" s="3" t="s">
        <v>24</v>
      </c>
      <c r="C723" s="3" t="s">
        <v>35</v>
      </c>
      <c r="D723" s="3" t="s">
        <v>36</v>
      </c>
      <c r="E723" s="3" t="s">
        <v>49</v>
      </c>
      <c r="F723" s="3" t="s">
        <v>50</v>
      </c>
      <c r="G723" s="3">
        <v>2016</v>
      </c>
      <c r="H723" s="3" t="str">
        <f>CONCATENATE("64211130725")</f>
        <v>64211130725</v>
      </c>
      <c r="I723" s="3" t="s">
        <v>25</v>
      </c>
      <c r="J723" s="3" t="s">
        <v>26</v>
      </c>
      <c r="K723" s="3" t="str">
        <f t="shared" si="30"/>
        <v/>
      </c>
      <c r="L723" s="3" t="str">
        <f>CONCATENATE("13 13.1 4a")</f>
        <v>13 13.1 4a</v>
      </c>
      <c r="M723" s="3" t="str">
        <f>CONCATENATE("00515530442")</f>
        <v>00515530442</v>
      </c>
      <c r="N723" s="3" t="s">
        <v>831</v>
      </c>
      <c r="O723" s="3"/>
      <c r="P723" s="4">
        <v>42783</v>
      </c>
      <c r="Q723" s="3" t="s">
        <v>27</v>
      </c>
      <c r="R723" s="3" t="s">
        <v>28</v>
      </c>
      <c r="S723" s="3" t="s">
        <v>29</v>
      </c>
      <c r="T723" s="5">
        <v>1942.87</v>
      </c>
      <c r="U723" s="3">
        <v>837.77</v>
      </c>
      <c r="V723" s="3">
        <v>773.65</v>
      </c>
      <c r="W723" s="3">
        <v>331.45</v>
      </c>
    </row>
    <row r="724" spans="1:23" ht="36.75">
      <c r="A724" s="3" t="s">
        <v>23</v>
      </c>
      <c r="B724" s="3" t="s">
        <v>24</v>
      </c>
      <c r="C724" s="3" t="s">
        <v>35</v>
      </c>
      <c r="D724" s="3" t="s">
        <v>36</v>
      </c>
      <c r="E724" s="3" t="s">
        <v>135</v>
      </c>
      <c r="F724" s="3" t="s">
        <v>136</v>
      </c>
      <c r="G724" s="3">
        <v>2016</v>
      </c>
      <c r="H724" s="3" t="str">
        <f>CONCATENATE("64240492591")</f>
        <v>64240492591</v>
      </c>
      <c r="I724" s="3" t="s">
        <v>25</v>
      </c>
      <c r="J724" s="3" t="s">
        <v>26</v>
      </c>
      <c r="K724" s="3" t="str">
        <f t="shared" si="30"/>
        <v/>
      </c>
      <c r="L724" s="3" t="str">
        <f>CONCATENATE("11 11.2 4b")</f>
        <v>11 11.2 4b</v>
      </c>
      <c r="M724" s="3" t="str">
        <f>CONCATENATE("01824030439")</f>
        <v>01824030439</v>
      </c>
      <c r="N724" s="3" t="s">
        <v>832</v>
      </c>
      <c r="O724" s="3"/>
      <c r="P724" s="4">
        <v>42783</v>
      </c>
      <c r="Q724" s="3" t="s">
        <v>27</v>
      </c>
      <c r="R724" s="3" t="s">
        <v>28</v>
      </c>
      <c r="S724" s="3" t="s">
        <v>29</v>
      </c>
      <c r="T724" s="5">
        <v>17549.310000000001</v>
      </c>
      <c r="U724" s="5">
        <v>7567.26</v>
      </c>
      <c r="V724" s="5">
        <v>6988.14</v>
      </c>
      <c r="W724" s="5">
        <v>2993.91</v>
      </c>
    </row>
    <row r="725" spans="1:23" ht="36.75">
      <c r="A725" s="3" t="s">
        <v>23</v>
      </c>
      <c r="B725" s="3" t="s">
        <v>24</v>
      </c>
      <c r="C725" s="3" t="s">
        <v>35</v>
      </c>
      <c r="D725" s="3" t="s">
        <v>48</v>
      </c>
      <c r="E725" s="3" t="s">
        <v>30</v>
      </c>
      <c r="F725" s="3" t="s">
        <v>157</v>
      </c>
      <c r="G725" s="3">
        <v>2016</v>
      </c>
      <c r="H725" s="3" t="str">
        <f>CONCATENATE("64240755179")</f>
        <v>64240755179</v>
      </c>
      <c r="I725" s="3" t="s">
        <v>25</v>
      </c>
      <c r="J725" s="3" t="s">
        <v>26</v>
      </c>
      <c r="K725" s="3" t="str">
        <f t="shared" si="30"/>
        <v/>
      </c>
      <c r="L725" s="3" t="str">
        <f>CONCATENATE("11 11.1 4b")</f>
        <v>11 11.1 4b</v>
      </c>
      <c r="M725" s="3" t="str">
        <f>CONCATENATE("03914890169")</f>
        <v>03914890169</v>
      </c>
      <c r="N725" s="3" t="s">
        <v>833</v>
      </c>
      <c r="O725" s="3"/>
      <c r="P725" s="4">
        <v>42783</v>
      </c>
      <c r="Q725" s="3" t="s">
        <v>27</v>
      </c>
      <c r="R725" s="3" t="s">
        <v>28</v>
      </c>
      <c r="S725" s="3" t="s">
        <v>29</v>
      </c>
      <c r="T725" s="5">
        <v>1483.95</v>
      </c>
      <c r="U725" s="3">
        <v>639.88</v>
      </c>
      <c r="V725" s="3">
        <v>590.91</v>
      </c>
      <c r="W725" s="3">
        <v>253.16</v>
      </c>
    </row>
    <row r="726" spans="1:23" ht="60.75">
      <c r="A726" s="3" t="s">
        <v>23</v>
      </c>
      <c r="B726" s="3" t="s">
        <v>24</v>
      </c>
      <c r="C726" s="3" t="s">
        <v>35</v>
      </c>
      <c r="D726" s="3" t="s">
        <v>43</v>
      </c>
      <c r="E726" s="3" t="s">
        <v>30</v>
      </c>
      <c r="F726" s="3" t="s">
        <v>104</v>
      </c>
      <c r="G726" s="3">
        <v>2016</v>
      </c>
      <c r="H726" s="3" t="str">
        <f>CONCATENATE("64240245767")</f>
        <v>64240245767</v>
      </c>
      <c r="I726" s="3" t="s">
        <v>25</v>
      </c>
      <c r="J726" s="3" t="s">
        <v>26</v>
      </c>
      <c r="K726" s="3" t="str">
        <f t="shared" si="30"/>
        <v/>
      </c>
      <c r="L726" s="3" t="str">
        <f>CONCATENATE("11 11.2 4b")</f>
        <v>11 11.2 4b</v>
      </c>
      <c r="M726" s="3" t="str">
        <f>CONCATENATE("CCCLSU57S70A740N")</f>
        <v>CCCLSU57S70A740N</v>
      </c>
      <c r="N726" s="3" t="s">
        <v>834</v>
      </c>
      <c r="O726" s="3"/>
      <c r="P726" s="4">
        <v>42783</v>
      </c>
      <c r="Q726" s="3" t="s">
        <v>27</v>
      </c>
      <c r="R726" s="3" t="s">
        <v>28</v>
      </c>
      <c r="S726" s="3" t="s">
        <v>29</v>
      </c>
      <c r="T726" s="5">
        <v>1595.88</v>
      </c>
      <c r="U726" s="3">
        <v>688.14</v>
      </c>
      <c r="V726" s="3">
        <v>635.48</v>
      </c>
      <c r="W726" s="3">
        <v>272.26</v>
      </c>
    </row>
    <row r="727" spans="1:23" ht="60.75">
      <c r="A727" s="3" t="s">
        <v>23</v>
      </c>
      <c r="B727" s="3" t="s">
        <v>24</v>
      </c>
      <c r="C727" s="3" t="s">
        <v>35</v>
      </c>
      <c r="D727" s="3" t="s">
        <v>43</v>
      </c>
      <c r="E727" s="3" t="s">
        <v>30</v>
      </c>
      <c r="F727" s="3" t="s">
        <v>104</v>
      </c>
      <c r="G727" s="3">
        <v>2016</v>
      </c>
      <c r="H727" s="3" t="str">
        <f>CONCATENATE("64210955544")</f>
        <v>64210955544</v>
      </c>
      <c r="I727" s="3" t="s">
        <v>25</v>
      </c>
      <c r="J727" s="3" t="s">
        <v>26</v>
      </c>
      <c r="K727" s="3" t="str">
        <f t="shared" si="30"/>
        <v/>
      </c>
      <c r="L727" s="3" t="str">
        <f>CONCATENATE("13 13.1 4a")</f>
        <v>13 13.1 4a</v>
      </c>
      <c r="M727" s="3" t="str">
        <f>CONCATENATE("MRCNTN30C45A493E")</f>
        <v>MRCNTN30C45A493E</v>
      </c>
      <c r="N727" s="3" t="s">
        <v>835</v>
      </c>
      <c r="O727" s="3"/>
      <c r="P727" s="4">
        <v>42783</v>
      </c>
      <c r="Q727" s="3" t="s">
        <v>27</v>
      </c>
      <c r="R727" s="3" t="s">
        <v>28</v>
      </c>
      <c r="S727" s="3" t="s">
        <v>29</v>
      </c>
      <c r="T727" s="5">
        <v>1158.8699999999999</v>
      </c>
      <c r="U727" s="3">
        <v>499.7</v>
      </c>
      <c r="V727" s="3">
        <v>461.46</v>
      </c>
      <c r="W727" s="3">
        <v>197.71</v>
      </c>
    </row>
    <row r="728" spans="1:23" ht="36.75">
      <c r="A728" s="3" t="s">
        <v>23</v>
      </c>
      <c r="B728" s="3" t="s">
        <v>24</v>
      </c>
      <c r="C728" s="3" t="s">
        <v>35</v>
      </c>
      <c r="D728" s="3" t="s">
        <v>48</v>
      </c>
      <c r="E728" s="3" t="s">
        <v>30</v>
      </c>
      <c r="F728" s="3" t="s">
        <v>91</v>
      </c>
      <c r="G728" s="3">
        <v>2016</v>
      </c>
      <c r="H728" s="3" t="str">
        <f>CONCATENATE("64210546434")</f>
        <v>64210546434</v>
      </c>
      <c r="I728" s="3" t="s">
        <v>25</v>
      </c>
      <c r="J728" s="3" t="s">
        <v>26</v>
      </c>
      <c r="K728" s="3" t="str">
        <f t="shared" si="30"/>
        <v/>
      </c>
      <c r="L728" s="3" t="str">
        <f>CONCATENATE("13 13.1 4a")</f>
        <v>13 13.1 4a</v>
      </c>
      <c r="M728" s="3" t="str">
        <f>CONCATENATE("01089250433")</f>
        <v>01089250433</v>
      </c>
      <c r="N728" s="3" t="s">
        <v>836</v>
      </c>
      <c r="O728" s="3"/>
      <c r="P728" s="4">
        <v>42783</v>
      </c>
      <c r="Q728" s="3" t="s">
        <v>27</v>
      </c>
      <c r="R728" s="3" t="s">
        <v>28</v>
      </c>
      <c r="S728" s="3" t="s">
        <v>29</v>
      </c>
      <c r="T728" s="5">
        <v>4133.1499999999996</v>
      </c>
      <c r="U728" s="5">
        <v>1782.21</v>
      </c>
      <c r="V728" s="5">
        <v>1645.82</v>
      </c>
      <c r="W728" s="3">
        <v>705.12</v>
      </c>
    </row>
    <row r="729" spans="1:23" ht="60.75">
      <c r="A729" s="3" t="s">
        <v>23</v>
      </c>
      <c r="B729" s="3" t="s">
        <v>24</v>
      </c>
      <c r="C729" s="3" t="s">
        <v>35</v>
      </c>
      <c r="D729" s="3" t="s">
        <v>39</v>
      </c>
      <c r="E729" s="3" t="s">
        <v>32</v>
      </c>
      <c r="F729" s="3" t="s">
        <v>117</v>
      </c>
      <c r="G729" s="3">
        <v>2016</v>
      </c>
      <c r="H729" s="3" t="str">
        <f>CONCATENATE("64240484937")</f>
        <v>64240484937</v>
      </c>
      <c r="I729" s="3" t="s">
        <v>25</v>
      </c>
      <c r="J729" s="3" t="s">
        <v>26</v>
      </c>
      <c r="K729" s="3" t="str">
        <f t="shared" si="30"/>
        <v/>
      </c>
      <c r="L729" s="3" t="str">
        <f>CONCATENATE("11 11.2 4b")</f>
        <v>11 11.2 4b</v>
      </c>
      <c r="M729" s="3" t="str">
        <f>CONCATENATE("RNLSMN74B47I608C")</f>
        <v>RNLSMN74B47I608C</v>
      </c>
      <c r="N729" s="3" t="s">
        <v>837</v>
      </c>
      <c r="O729" s="3"/>
      <c r="P729" s="4">
        <v>42783</v>
      </c>
      <c r="Q729" s="3" t="s">
        <v>27</v>
      </c>
      <c r="R729" s="3" t="s">
        <v>28</v>
      </c>
      <c r="S729" s="3" t="s">
        <v>29</v>
      </c>
      <c r="T729" s="3">
        <v>588.16999999999996</v>
      </c>
      <c r="U729" s="3">
        <v>253.62</v>
      </c>
      <c r="V729" s="3">
        <v>234.21</v>
      </c>
      <c r="W729" s="3">
        <v>100.34</v>
      </c>
    </row>
    <row r="730" spans="1:23" ht="60.75">
      <c r="A730" s="3" t="s">
        <v>23</v>
      </c>
      <c r="B730" s="3" t="s">
        <v>24</v>
      </c>
      <c r="C730" s="3" t="s">
        <v>35</v>
      </c>
      <c r="D730" s="3" t="s">
        <v>39</v>
      </c>
      <c r="E730" s="3" t="s">
        <v>30</v>
      </c>
      <c r="F730" s="3" t="s">
        <v>84</v>
      </c>
      <c r="G730" s="3">
        <v>2016</v>
      </c>
      <c r="H730" s="3" t="str">
        <f>CONCATENATE("64240246443")</f>
        <v>64240246443</v>
      </c>
      <c r="I730" s="3" t="s">
        <v>25</v>
      </c>
      <c r="J730" s="3" t="s">
        <v>26</v>
      </c>
      <c r="K730" s="3" t="str">
        <f t="shared" si="30"/>
        <v/>
      </c>
      <c r="L730" s="3" t="str">
        <f>CONCATENATE("11 11.2 4b")</f>
        <v>11 11.2 4b</v>
      </c>
      <c r="M730" s="3" t="str">
        <f>CONCATENATE("LNRRNG48L58I461G")</f>
        <v>LNRRNG48L58I461G</v>
      </c>
      <c r="N730" s="3" t="s">
        <v>838</v>
      </c>
      <c r="O730" s="3"/>
      <c r="P730" s="4">
        <v>42783</v>
      </c>
      <c r="Q730" s="3" t="s">
        <v>27</v>
      </c>
      <c r="R730" s="3" t="s">
        <v>28</v>
      </c>
      <c r="S730" s="3" t="s">
        <v>29</v>
      </c>
      <c r="T730" s="5">
        <v>1480.79</v>
      </c>
      <c r="U730" s="3">
        <v>638.52</v>
      </c>
      <c r="V730" s="3">
        <v>589.65</v>
      </c>
      <c r="W730" s="3">
        <v>252.62</v>
      </c>
    </row>
    <row r="731" spans="1:23" ht="36.75">
      <c r="A731" s="3" t="s">
        <v>23</v>
      </c>
      <c r="B731" s="3" t="s">
        <v>24</v>
      </c>
      <c r="C731" s="3" t="s">
        <v>35</v>
      </c>
      <c r="D731" s="3" t="s">
        <v>43</v>
      </c>
      <c r="E731" s="3" t="s">
        <v>49</v>
      </c>
      <c r="F731" s="3" t="s">
        <v>276</v>
      </c>
      <c r="G731" s="3">
        <v>2016</v>
      </c>
      <c r="H731" s="3" t="str">
        <f>CONCATENATE("64240324729")</f>
        <v>64240324729</v>
      </c>
      <c r="I731" s="3" t="s">
        <v>25</v>
      </c>
      <c r="J731" s="3" t="s">
        <v>26</v>
      </c>
      <c r="K731" s="3" t="str">
        <f t="shared" si="30"/>
        <v/>
      </c>
      <c r="L731" s="3" t="str">
        <f>CONCATENATE("11 11.1 4b")</f>
        <v>11 11.1 4b</v>
      </c>
      <c r="M731" s="3" t="str">
        <f>CONCATENATE("02568350413")</f>
        <v>02568350413</v>
      </c>
      <c r="N731" s="3" t="s">
        <v>839</v>
      </c>
      <c r="O731" s="3"/>
      <c r="P731" s="4">
        <v>42783</v>
      </c>
      <c r="Q731" s="3" t="s">
        <v>27</v>
      </c>
      <c r="R731" s="3" t="s">
        <v>28</v>
      </c>
      <c r="S731" s="3" t="s">
        <v>29</v>
      </c>
      <c r="T731" s="5">
        <v>5574.1</v>
      </c>
      <c r="U731" s="5">
        <v>2403.5500000000002</v>
      </c>
      <c r="V731" s="5">
        <v>2219.61</v>
      </c>
      <c r="W731" s="3">
        <v>950.94</v>
      </c>
    </row>
    <row r="732" spans="1:23" ht="36.75">
      <c r="A732" s="3" t="s">
        <v>23</v>
      </c>
      <c r="B732" s="3" t="s">
        <v>24</v>
      </c>
      <c r="C732" s="3" t="s">
        <v>35</v>
      </c>
      <c r="D732" s="3" t="s">
        <v>48</v>
      </c>
      <c r="E732" s="3" t="s">
        <v>49</v>
      </c>
      <c r="F732" s="3" t="s">
        <v>50</v>
      </c>
      <c r="G732" s="3">
        <v>2016</v>
      </c>
      <c r="H732" s="3" t="str">
        <f>CONCATENATE("64240893038")</f>
        <v>64240893038</v>
      </c>
      <c r="I732" s="3" t="s">
        <v>25</v>
      </c>
      <c r="J732" s="3" t="s">
        <v>26</v>
      </c>
      <c r="K732" s="3" t="str">
        <f t="shared" si="30"/>
        <v/>
      </c>
      <c r="L732" s="3" t="str">
        <f>CONCATENATE("11 11.2 4b")</f>
        <v>11 11.2 4b</v>
      </c>
      <c r="M732" s="3" t="str">
        <f>CONCATENATE("01490090436")</f>
        <v>01490090436</v>
      </c>
      <c r="N732" s="3" t="s">
        <v>840</v>
      </c>
      <c r="O732" s="3"/>
      <c r="P732" s="4">
        <v>42783</v>
      </c>
      <c r="Q732" s="3" t="s">
        <v>27</v>
      </c>
      <c r="R732" s="3" t="s">
        <v>28</v>
      </c>
      <c r="S732" s="3" t="s">
        <v>29</v>
      </c>
      <c r="T732" s="3">
        <v>490.9</v>
      </c>
      <c r="U732" s="3">
        <v>211.68</v>
      </c>
      <c r="V732" s="3">
        <v>195.48</v>
      </c>
      <c r="W732" s="3">
        <v>83.74</v>
      </c>
    </row>
    <row r="733" spans="1:23" ht="60.75">
      <c r="A733" s="3" t="s">
        <v>23</v>
      </c>
      <c r="B733" s="3" t="s">
        <v>24</v>
      </c>
      <c r="C733" s="3" t="s">
        <v>35</v>
      </c>
      <c r="D733" s="3" t="s">
        <v>48</v>
      </c>
      <c r="E733" s="3" t="s">
        <v>30</v>
      </c>
      <c r="F733" s="3" t="s">
        <v>55</v>
      </c>
      <c r="G733" s="3">
        <v>2016</v>
      </c>
      <c r="H733" s="3" t="str">
        <f>CONCATENATE("64240554093")</f>
        <v>64240554093</v>
      </c>
      <c r="I733" s="3" t="s">
        <v>25</v>
      </c>
      <c r="J733" s="3" t="s">
        <v>26</v>
      </c>
      <c r="K733" s="3" t="str">
        <f t="shared" si="30"/>
        <v/>
      </c>
      <c r="L733" s="3" t="str">
        <f>CONCATENATE("11 11.2 4b")</f>
        <v>11 11.2 4b</v>
      </c>
      <c r="M733" s="3" t="str">
        <f>CONCATENATE("NGLSMN77R29B474E")</f>
        <v>NGLSMN77R29B474E</v>
      </c>
      <c r="N733" s="3" t="s">
        <v>841</v>
      </c>
      <c r="O733" s="3"/>
      <c r="P733" s="4">
        <v>42783</v>
      </c>
      <c r="Q733" s="3" t="s">
        <v>27</v>
      </c>
      <c r="R733" s="3" t="s">
        <v>28</v>
      </c>
      <c r="S733" s="3" t="s">
        <v>29</v>
      </c>
      <c r="T733" s="5">
        <v>7434.86</v>
      </c>
      <c r="U733" s="5">
        <v>3205.91</v>
      </c>
      <c r="V733" s="5">
        <v>2960.56</v>
      </c>
      <c r="W733" s="5">
        <v>1268.3900000000001</v>
      </c>
    </row>
    <row r="734" spans="1:23" ht="60.75">
      <c r="A734" s="3" t="s">
        <v>23</v>
      </c>
      <c r="B734" s="3" t="s">
        <v>24</v>
      </c>
      <c r="C734" s="3" t="s">
        <v>35</v>
      </c>
      <c r="D734" s="3" t="s">
        <v>36</v>
      </c>
      <c r="E734" s="3" t="s">
        <v>42</v>
      </c>
      <c r="F734" s="3" t="s">
        <v>42</v>
      </c>
      <c r="G734" s="3">
        <v>2016</v>
      </c>
      <c r="H734" s="3" t="str">
        <f>CONCATENATE("64240531166")</f>
        <v>64240531166</v>
      </c>
      <c r="I734" s="3" t="s">
        <v>25</v>
      </c>
      <c r="J734" s="3" t="s">
        <v>26</v>
      </c>
      <c r="K734" s="3" t="str">
        <f t="shared" si="30"/>
        <v/>
      </c>
      <c r="L734" s="3" t="str">
        <f>CONCATENATE("11 11.1 4b")</f>
        <v>11 11.1 4b</v>
      </c>
      <c r="M734" s="3" t="str">
        <f>CONCATENATE("FLCSFN67C54F520F")</f>
        <v>FLCSFN67C54F520F</v>
      </c>
      <c r="N734" s="3" t="s">
        <v>842</v>
      </c>
      <c r="O734" s="3"/>
      <c r="P734" s="4">
        <v>42783</v>
      </c>
      <c r="Q734" s="3" t="s">
        <v>27</v>
      </c>
      <c r="R734" s="3" t="s">
        <v>28</v>
      </c>
      <c r="S734" s="3" t="s">
        <v>29</v>
      </c>
      <c r="T734" s="5">
        <v>2881.87</v>
      </c>
      <c r="U734" s="5">
        <v>1242.6600000000001</v>
      </c>
      <c r="V734" s="5">
        <v>1147.56</v>
      </c>
      <c r="W734" s="3">
        <v>491.65</v>
      </c>
    </row>
    <row r="735" spans="1:23" ht="60.75">
      <c r="A735" s="3" t="s">
        <v>23</v>
      </c>
      <c r="B735" s="3" t="s">
        <v>24</v>
      </c>
      <c r="C735" s="3" t="s">
        <v>35</v>
      </c>
      <c r="D735" s="3" t="s">
        <v>39</v>
      </c>
      <c r="E735" s="3" t="s">
        <v>32</v>
      </c>
      <c r="F735" s="3" t="s">
        <v>215</v>
      </c>
      <c r="G735" s="3">
        <v>2016</v>
      </c>
      <c r="H735" s="3" t="str">
        <f>CONCATENATE("64240217691")</f>
        <v>64240217691</v>
      </c>
      <c r="I735" s="3" t="s">
        <v>31</v>
      </c>
      <c r="J735" s="3" t="s">
        <v>26</v>
      </c>
      <c r="K735" s="3" t="str">
        <f t="shared" si="30"/>
        <v/>
      </c>
      <c r="L735" s="3" t="str">
        <f>CONCATENATE("11 11.1 4b")</f>
        <v>11 11.1 4b</v>
      </c>
      <c r="M735" s="3" t="str">
        <f>CONCATENATE("FTTPLA53A70A271Y")</f>
        <v>FTTPLA53A70A271Y</v>
      </c>
      <c r="N735" s="3" t="s">
        <v>843</v>
      </c>
      <c r="O735" s="3"/>
      <c r="P735" s="4">
        <v>42783</v>
      </c>
      <c r="Q735" s="3" t="s">
        <v>27</v>
      </c>
      <c r="R735" s="3" t="s">
        <v>28</v>
      </c>
      <c r="S735" s="3" t="s">
        <v>29</v>
      </c>
      <c r="T735" s="5">
        <v>1189.58</v>
      </c>
      <c r="U735" s="3">
        <v>512.95000000000005</v>
      </c>
      <c r="V735" s="3">
        <v>473.69</v>
      </c>
      <c r="W735" s="3">
        <v>202.94</v>
      </c>
    </row>
    <row r="736" spans="1:23" ht="60.75">
      <c r="A736" s="3" t="s">
        <v>23</v>
      </c>
      <c r="B736" s="3" t="s">
        <v>24</v>
      </c>
      <c r="C736" s="3" t="s">
        <v>35</v>
      </c>
      <c r="D736" s="3" t="s">
        <v>43</v>
      </c>
      <c r="E736" s="3" t="s">
        <v>33</v>
      </c>
      <c r="F736" s="3" t="s">
        <v>46</v>
      </c>
      <c r="G736" s="3">
        <v>2016</v>
      </c>
      <c r="H736" s="3" t="str">
        <f>CONCATENATE("64240666301")</f>
        <v>64240666301</v>
      </c>
      <c r="I736" s="3" t="s">
        <v>25</v>
      </c>
      <c r="J736" s="3" t="s">
        <v>26</v>
      </c>
      <c r="K736" s="3" t="str">
        <f t="shared" si="30"/>
        <v/>
      </c>
      <c r="L736" s="3" t="str">
        <f>CONCATENATE("11 11.2 4b")</f>
        <v>11 11.2 4b</v>
      </c>
      <c r="M736" s="3" t="str">
        <f>CONCATENATE("PSCFNC74B42D488S")</f>
        <v>PSCFNC74B42D488S</v>
      </c>
      <c r="N736" s="3" t="s">
        <v>844</v>
      </c>
      <c r="O736" s="3"/>
      <c r="P736" s="4">
        <v>42783</v>
      </c>
      <c r="Q736" s="3" t="s">
        <v>27</v>
      </c>
      <c r="R736" s="3" t="s">
        <v>28</v>
      </c>
      <c r="S736" s="3" t="s">
        <v>29</v>
      </c>
      <c r="T736" s="5">
        <v>1036.28</v>
      </c>
      <c r="U736" s="3">
        <v>446.84</v>
      </c>
      <c r="V736" s="3">
        <v>412.65</v>
      </c>
      <c r="W736" s="3">
        <v>176.79</v>
      </c>
    </row>
    <row r="737" spans="1:23" ht="36.75">
      <c r="A737" s="3" t="s">
        <v>23</v>
      </c>
      <c r="B737" s="3" t="s">
        <v>24</v>
      </c>
      <c r="C737" s="3" t="s">
        <v>35</v>
      </c>
      <c r="D737" s="3" t="s">
        <v>43</v>
      </c>
      <c r="E737" s="3" t="s">
        <v>30</v>
      </c>
      <c r="F737" s="3" t="s">
        <v>199</v>
      </c>
      <c r="G737" s="3">
        <v>2016</v>
      </c>
      <c r="H737" s="3" t="str">
        <f>CONCATENATE("64240628889")</f>
        <v>64240628889</v>
      </c>
      <c r="I737" s="3" t="s">
        <v>25</v>
      </c>
      <c r="J737" s="3" t="s">
        <v>26</v>
      </c>
      <c r="K737" s="3" t="str">
        <f t="shared" si="30"/>
        <v/>
      </c>
      <c r="L737" s="3" t="str">
        <f>CONCATENATE("11 11.1 4b")</f>
        <v>11 11.1 4b</v>
      </c>
      <c r="M737" s="3" t="str">
        <f>CONCATENATE("02608450413")</f>
        <v>02608450413</v>
      </c>
      <c r="N737" s="3" t="s">
        <v>845</v>
      </c>
      <c r="O737" s="3"/>
      <c r="P737" s="4">
        <v>42783</v>
      </c>
      <c r="Q737" s="3" t="s">
        <v>27</v>
      </c>
      <c r="R737" s="3" t="s">
        <v>28</v>
      </c>
      <c r="S737" s="3" t="s">
        <v>29</v>
      </c>
      <c r="T737" s="5">
        <v>7543.26</v>
      </c>
      <c r="U737" s="5">
        <v>3252.65</v>
      </c>
      <c r="V737" s="5">
        <v>3003.73</v>
      </c>
      <c r="W737" s="5">
        <v>1286.8800000000001</v>
      </c>
    </row>
    <row r="738" spans="1:23" ht="60.75">
      <c r="A738" s="3" t="s">
        <v>23</v>
      </c>
      <c r="B738" s="3" t="s">
        <v>24</v>
      </c>
      <c r="C738" s="3" t="s">
        <v>35</v>
      </c>
      <c r="D738" s="3" t="s">
        <v>39</v>
      </c>
      <c r="E738" s="3" t="s">
        <v>30</v>
      </c>
      <c r="F738" s="3" t="s">
        <v>84</v>
      </c>
      <c r="G738" s="3">
        <v>2016</v>
      </c>
      <c r="H738" s="3" t="str">
        <f>CONCATENATE("64210447245")</f>
        <v>64210447245</v>
      </c>
      <c r="I738" s="3" t="s">
        <v>25</v>
      </c>
      <c r="J738" s="3" t="s">
        <v>26</v>
      </c>
      <c r="K738" s="3" t="str">
        <f t="shared" si="30"/>
        <v/>
      </c>
      <c r="L738" s="3" t="str">
        <f>CONCATENATE("13 13.1 4a")</f>
        <v>13 13.1 4a</v>
      </c>
      <c r="M738" s="3" t="str">
        <f>CONCATENATE("RGLGRG71H30I653I")</f>
        <v>RGLGRG71H30I653I</v>
      </c>
      <c r="N738" s="3" t="s">
        <v>846</v>
      </c>
      <c r="O738" s="3"/>
      <c r="P738" s="4">
        <v>42783</v>
      </c>
      <c r="Q738" s="3" t="s">
        <v>27</v>
      </c>
      <c r="R738" s="3" t="s">
        <v>28</v>
      </c>
      <c r="S738" s="3" t="s">
        <v>29</v>
      </c>
      <c r="T738" s="5">
        <v>1799.52</v>
      </c>
      <c r="U738" s="3">
        <v>775.95</v>
      </c>
      <c r="V738" s="3">
        <v>716.57</v>
      </c>
      <c r="W738" s="3">
        <v>307</v>
      </c>
    </row>
    <row r="739" spans="1:23" ht="60.75">
      <c r="A739" s="3" t="s">
        <v>23</v>
      </c>
      <c r="B739" s="3" t="s">
        <v>24</v>
      </c>
      <c r="C739" s="3" t="s">
        <v>35</v>
      </c>
      <c r="D739" s="3" t="s">
        <v>36</v>
      </c>
      <c r="E739" s="3" t="s">
        <v>30</v>
      </c>
      <c r="F739" s="3" t="s">
        <v>37</v>
      </c>
      <c r="G739" s="3">
        <v>2016</v>
      </c>
      <c r="H739" s="3" t="str">
        <f>CONCATENATE("64240894408")</f>
        <v>64240894408</v>
      </c>
      <c r="I739" s="3" t="s">
        <v>25</v>
      </c>
      <c r="J739" s="3" t="s">
        <v>26</v>
      </c>
      <c r="K739" s="3" t="str">
        <f t="shared" si="30"/>
        <v/>
      </c>
      <c r="L739" s="3" t="str">
        <f>CONCATENATE("11 11.1 4b")</f>
        <v>11 11.1 4b</v>
      </c>
      <c r="M739" s="3" t="str">
        <f>CONCATENATE("MTTLSN78L05H769Y")</f>
        <v>MTTLSN78L05H769Y</v>
      </c>
      <c r="N739" s="3" t="s">
        <v>847</v>
      </c>
      <c r="O739" s="3"/>
      <c r="P739" s="4">
        <v>42783</v>
      </c>
      <c r="Q739" s="3" t="s">
        <v>27</v>
      </c>
      <c r="R739" s="3" t="s">
        <v>28</v>
      </c>
      <c r="S739" s="3" t="s">
        <v>29</v>
      </c>
      <c r="T739" s="5">
        <v>3210.87</v>
      </c>
      <c r="U739" s="5">
        <v>1384.53</v>
      </c>
      <c r="V739" s="5">
        <v>1278.57</v>
      </c>
      <c r="W739" s="3">
        <v>547.77</v>
      </c>
    </row>
    <row r="740" spans="1:23" ht="60.75">
      <c r="A740" s="3" t="s">
        <v>23</v>
      </c>
      <c r="B740" s="3" t="s">
        <v>24</v>
      </c>
      <c r="C740" s="3" t="s">
        <v>35</v>
      </c>
      <c r="D740" s="3" t="s">
        <v>43</v>
      </c>
      <c r="E740" s="3" t="s">
        <v>33</v>
      </c>
      <c r="F740" s="3" t="s">
        <v>848</v>
      </c>
      <c r="G740" s="3">
        <v>2016</v>
      </c>
      <c r="H740" s="3" t="str">
        <f>CONCATENATE("64211060187")</f>
        <v>64211060187</v>
      </c>
      <c r="I740" s="3" t="s">
        <v>31</v>
      </c>
      <c r="J740" s="3" t="s">
        <v>26</v>
      </c>
      <c r="K740" s="3" t="str">
        <f t="shared" si="30"/>
        <v/>
      </c>
      <c r="L740" s="3" t="str">
        <f>CONCATENATE("13 13.1 4a")</f>
        <v>13 13.1 4a</v>
      </c>
      <c r="M740" s="3" t="str">
        <f>CONCATENATE("CNCFPP43D28E785Y")</f>
        <v>CNCFPP43D28E785Y</v>
      </c>
      <c r="N740" s="3" t="s">
        <v>849</v>
      </c>
      <c r="O740" s="3"/>
      <c r="P740" s="4">
        <v>42783</v>
      </c>
      <c r="Q740" s="3" t="s">
        <v>27</v>
      </c>
      <c r="R740" s="3" t="s">
        <v>28</v>
      </c>
      <c r="S740" s="3" t="s">
        <v>29</v>
      </c>
      <c r="T740" s="5">
        <v>2965</v>
      </c>
      <c r="U740" s="5">
        <v>1278.51</v>
      </c>
      <c r="V740" s="5">
        <v>1180.6600000000001</v>
      </c>
      <c r="W740" s="3">
        <v>505.83</v>
      </c>
    </row>
    <row r="741" spans="1:23" ht="60.75">
      <c r="A741" s="3" t="s">
        <v>23</v>
      </c>
      <c r="B741" s="3" t="s">
        <v>24</v>
      </c>
      <c r="C741" s="3" t="s">
        <v>35</v>
      </c>
      <c r="D741" s="3" t="s">
        <v>48</v>
      </c>
      <c r="E741" s="3" t="s">
        <v>49</v>
      </c>
      <c r="F741" s="3" t="s">
        <v>50</v>
      </c>
      <c r="G741" s="3">
        <v>2016</v>
      </c>
      <c r="H741" s="3" t="str">
        <f>CONCATENATE("64240844601")</f>
        <v>64240844601</v>
      </c>
      <c r="I741" s="3" t="s">
        <v>25</v>
      </c>
      <c r="J741" s="3" t="s">
        <v>26</v>
      </c>
      <c r="K741" s="3" t="str">
        <f t="shared" si="30"/>
        <v/>
      </c>
      <c r="L741" s="3" t="str">
        <f>CONCATENATE("11 11.2 4b")</f>
        <v>11 11.2 4b</v>
      </c>
      <c r="M741" s="3" t="str">
        <f>CONCATENATE("CCCGLN70A49I156C")</f>
        <v>CCCGLN70A49I156C</v>
      </c>
      <c r="N741" s="3" t="s">
        <v>850</v>
      </c>
      <c r="O741" s="3"/>
      <c r="P741" s="4">
        <v>42783</v>
      </c>
      <c r="Q741" s="3" t="s">
        <v>27</v>
      </c>
      <c r="R741" s="3" t="s">
        <v>28</v>
      </c>
      <c r="S741" s="3" t="s">
        <v>29</v>
      </c>
      <c r="T741" s="5">
        <v>3809.56</v>
      </c>
      <c r="U741" s="5">
        <v>1642.68</v>
      </c>
      <c r="V741" s="5">
        <v>1516.97</v>
      </c>
      <c r="W741" s="3">
        <v>649.91</v>
      </c>
    </row>
    <row r="742" spans="1:23" ht="60.75">
      <c r="A742" s="3" t="s">
        <v>23</v>
      </c>
      <c r="B742" s="3" t="s">
        <v>24</v>
      </c>
      <c r="C742" s="3" t="s">
        <v>35</v>
      </c>
      <c r="D742" s="3" t="s">
        <v>48</v>
      </c>
      <c r="E742" s="3" t="s">
        <v>30</v>
      </c>
      <c r="F742" s="3" t="s">
        <v>236</v>
      </c>
      <c r="G742" s="3">
        <v>2016</v>
      </c>
      <c r="H742" s="3" t="str">
        <f>CONCATENATE("64240723219")</f>
        <v>64240723219</v>
      </c>
      <c r="I742" s="3" t="s">
        <v>31</v>
      </c>
      <c r="J742" s="3" t="s">
        <v>26</v>
      </c>
      <c r="K742" s="3" t="str">
        <f t="shared" si="30"/>
        <v/>
      </c>
      <c r="L742" s="3" t="str">
        <f>CONCATENATE("11 11.2 4b")</f>
        <v>11 11.2 4b</v>
      </c>
      <c r="M742" s="3" t="str">
        <f>CONCATENATE("SNTSNT34C23C704T")</f>
        <v>SNTSNT34C23C704T</v>
      </c>
      <c r="N742" s="3" t="s">
        <v>824</v>
      </c>
      <c r="O742" s="3"/>
      <c r="P742" s="4">
        <v>42783</v>
      </c>
      <c r="Q742" s="3" t="s">
        <v>27</v>
      </c>
      <c r="R742" s="3" t="s">
        <v>28</v>
      </c>
      <c r="S742" s="3" t="s">
        <v>29</v>
      </c>
      <c r="T742" s="5">
        <v>8688.91</v>
      </c>
      <c r="U742" s="5">
        <v>3746.66</v>
      </c>
      <c r="V742" s="5">
        <v>3459.92</v>
      </c>
      <c r="W742" s="5">
        <v>1482.33</v>
      </c>
    </row>
    <row r="743" spans="1:23" ht="60.75">
      <c r="A743" s="3" t="s">
        <v>23</v>
      </c>
      <c r="B743" s="3" t="s">
        <v>24</v>
      </c>
      <c r="C743" s="3" t="s">
        <v>35</v>
      </c>
      <c r="D743" s="3" t="s">
        <v>36</v>
      </c>
      <c r="E743" s="3" t="s">
        <v>30</v>
      </c>
      <c r="F743" s="3" t="s">
        <v>86</v>
      </c>
      <c r="G743" s="3">
        <v>2016</v>
      </c>
      <c r="H743" s="3" t="str">
        <f>CONCATENATE("64210734949")</f>
        <v>64210734949</v>
      </c>
      <c r="I743" s="3" t="s">
        <v>25</v>
      </c>
      <c r="J743" s="3" t="s">
        <v>26</v>
      </c>
      <c r="K743" s="3" t="str">
        <f t="shared" si="30"/>
        <v/>
      </c>
      <c r="L743" s="3" t="str">
        <f>CONCATENATE("13 13.1 4a")</f>
        <v>13 13.1 4a</v>
      </c>
      <c r="M743" s="3" t="str">
        <f>CONCATENATE("DGSMRS64A56A462T")</f>
        <v>DGSMRS64A56A462T</v>
      </c>
      <c r="N743" s="3" t="s">
        <v>851</v>
      </c>
      <c r="O743" s="3"/>
      <c r="P743" s="4">
        <v>42783</v>
      </c>
      <c r="Q743" s="3" t="s">
        <v>27</v>
      </c>
      <c r="R743" s="3" t="s">
        <v>28</v>
      </c>
      <c r="S743" s="3" t="s">
        <v>29</v>
      </c>
      <c r="T743" s="3">
        <v>253.1</v>
      </c>
      <c r="U743" s="3">
        <v>109.14</v>
      </c>
      <c r="V743" s="3">
        <v>100.78</v>
      </c>
      <c r="W743" s="3">
        <v>43.18</v>
      </c>
    </row>
    <row r="744" spans="1:23" ht="72.75">
      <c r="A744" s="3" t="s">
        <v>23</v>
      </c>
      <c r="B744" s="3" t="s">
        <v>24</v>
      </c>
      <c r="C744" s="3" t="s">
        <v>35</v>
      </c>
      <c r="D744" s="3" t="s">
        <v>36</v>
      </c>
      <c r="E744" s="3" t="s">
        <v>59</v>
      </c>
      <c r="F744" s="3" t="s">
        <v>62</v>
      </c>
      <c r="G744" s="3">
        <v>2016</v>
      </c>
      <c r="H744" s="3" t="str">
        <f>CONCATENATE("64240494217")</f>
        <v>64240494217</v>
      </c>
      <c r="I744" s="3" t="s">
        <v>25</v>
      </c>
      <c r="J744" s="3" t="s">
        <v>26</v>
      </c>
      <c r="K744" s="3" t="str">
        <f t="shared" si="30"/>
        <v/>
      </c>
      <c r="L744" s="3" t="str">
        <f>CONCATENATE("11 11.2 4b")</f>
        <v>11 11.2 4b</v>
      </c>
      <c r="M744" s="3" t="str">
        <f>CONCATENATE("CLNGZN59R02A462D")</f>
        <v>CLNGZN59R02A462D</v>
      </c>
      <c r="N744" s="3" t="s">
        <v>852</v>
      </c>
      <c r="O744" s="3"/>
      <c r="P744" s="4">
        <v>42783</v>
      </c>
      <c r="Q744" s="3" t="s">
        <v>27</v>
      </c>
      <c r="R744" s="3" t="s">
        <v>28</v>
      </c>
      <c r="S744" s="3" t="s">
        <v>29</v>
      </c>
      <c r="T744" s="5">
        <v>7210.78</v>
      </c>
      <c r="U744" s="5">
        <v>3109.29</v>
      </c>
      <c r="V744" s="5">
        <v>2871.33</v>
      </c>
      <c r="W744" s="5">
        <v>1230.1600000000001</v>
      </c>
    </row>
    <row r="745" spans="1:23" ht="36.75">
      <c r="A745" s="3" t="s">
        <v>23</v>
      </c>
      <c r="B745" s="3" t="s">
        <v>24</v>
      </c>
      <c r="C745" s="3" t="s">
        <v>35</v>
      </c>
      <c r="D745" s="3" t="s">
        <v>48</v>
      </c>
      <c r="E745" s="3" t="s">
        <v>30</v>
      </c>
      <c r="F745" s="3" t="s">
        <v>157</v>
      </c>
      <c r="G745" s="3">
        <v>2016</v>
      </c>
      <c r="H745" s="3" t="str">
        <f>CONCATENATE("64240759031")</f>
        <v>64240759031</v>
      </c>
      <c r="I745" s="3" t="s">
        <v>25</v>
      </c>
      <c r="J745" s="3" t="s">
        <v>26</v>
      </c>
      <c r="K745" s="3" t="str">
        <f t="shared" si="30"/>
        <v/>
      </c>
      <c r="L745" s="3" t="str">
        <f>CONCATENATE("11 11.1 4b")</f>
        <v>11 11.1 4b</v>
      </c>
      <c r="M745" s="3" t="str">
        <f>CONCATENATE("01907690430")</f>
        <v>01907690430</v>
      </c>
      <c r="N745" s="3" t="s">
        <v>853</v>
      </c>
      <c r="O745" s="3"/>
      <c r="P745" s="4">
        <v>42783</v>
      </c>
      <c r="Q745" s="3" t="s">
        <v>27</v>
      </c>
      <c r="R745" s="3" t="s">
        <v>28</v>
      </c>
      <c r="S745" s="3" t="s">
        <v>29</v>
      </c>
      <c r="T745" s="3">
        <v>585.85</v>
      </c>
      <c r="U745" s="3">
        <v>252.62</v>
      </c>
      <c r="V745" s="3">
        <v>233.29</v>
      </c>
      <c r="W745" s="3">
        <v>99.94</v>
      </c>
    </row>
    <row r="746" spans="1:23" ht="72.75">
      <c r="A746" s="3" t="s">
        <v>23</v>
      </c>
      <c r="B746" s="3" t="s">
        <v>24</v>
      </c>
      <c r="C746" s="3" t="s">
        <v>35</v>
      </c>
      <c r="D746" s="3" t="s">
        <v>43</v>
      </c>
      <c r="E746" s="3" t="s">
        <v>30</v>
      </c>
      <c r="F746" s="3" t="s">
        <v>131</v>
      </c>
      <c r="G746" s="3">
        <v>2016</v>
      </c>
      <c r="H746" s="3" t="str">
        <f>CONCATENATE("64240282356")</f>
        <v>64240282356</v>
      </c>
      <c r="I746" s="3" t="s">
        <v>25</v>
      </c>
      <c r="J746" s="3" t="s">
        <v>26</v>
      </c>
      <c r="K746" s="3" t="str">
        <f t="shared" si="30"/>
        <v/>
      </c>
      <c r="L746" s="3" t="str">
        <f>CONCATENATE("11 11.2 4b")</f>
        <v>11 11.2 4b</v>
      </c>
      <c r="M746" s="3" t="str">
        <f>CONCATENATE("BTTMSM66L02D749O")</f>
        <v>BTTMSM66L02D749O</v>
      </c>
      <c r="N746" s="3" t="s">
        <v>854</v>
      </c>
      <c r="O746" s="3"/>
      <c r="P746" s="4">
        <v>42783</v>
      </c>
      <c r="Q746" s="3" t="s">
        <v>27</v>
      </c>
      <c r="R746" s="3" t="s">
        <v>28</v>
      </c>
      <c r="S746" s="3" t="s">
        <v>29</v>
      </c>
      <c r="T746" s="5">
        <v>1628.61</v>
      </c>
      <c r="U746" s="3">
        <v>702.26</v>
      </c>
      <c r="V746" s="3">
        <v>648.51</v>
      </c>
      <c r="W746" s="3">
        <v>277.83999999999997</v>
      </c>
    </row>
    <row r="747" spans="1:23" ht="60.75">
      <c r="A747" s="3" t="s">
        <v>23</v>
      </c>
      <c r="B747" s="3" t="s">
        <v>24</v>
      </c>
      <c r="C747" s="3" t="s">
        <v>35</v>
      </c>
      <c r="D747" s="3" t="s">
        <v>43</v>
      </c>
      <c r="E747" s="3" t="s">
        <v>30</v>
      </c>
      <c r="F747" s="3" t="s">
        <v>76</v>
      </c>
      <c r="G747" s="3">
        <v>2016</v>
      </c>
      <c r="H747" s="3" t="str">
        <f>CONCATENATE("64210122913")</f>
        <v>64210122913</v>
      </c>
      <c r="I747" s="3" t="s">
        <v>25</v>
      </c>
      <c r="J747" s="3" t="s">
        <v>26</v>
      </c>
      <c r="K747" s="3" t="str">
        <f t="shared" si="30"/>
        <v/>
      </c>
      <c r="L747" s="3" t="str">
        <f>CONCATENATE("13 13.1 4a")</f>
        <v>13 13.1 4a</v>
      </c>
      <c r="M747" s="3" t="str">
        <f>CONCATENATE("FSCLCN46A01F524G")</f>
        <v>FSCLCN46A01F524G</v>
      </c>
      <c r="N747" s="3" t="s">
        <v>855</v>
      </c>
      <c r="O747" s="3"/>
      <c r="P747" s="4">
        <v>42783</v>
      </c>
      <c r="Q747" s="3" t="s">
        <v>27</v>
      </c>
      <c r="R747" s="3" t="s">
        <v>28</v>
      </c>
      <c r="S747" s="3" t="s">
        <v>29</v>
      </c>
      <c r="T747" s="5">
        <v>1474.36</v>
      </c>
      <c r="U747" s="3">
        <v>635.74</v>
      </c>
      <c r="V747" s="3">
        <v>587.09</v>
      </c>
      <c r="W747" s="3">
        <v>251.53</v>
      </c>
    </row>
    <row r="748" spans="1:23" ht="60.75">
      <c r="A748" s="3" t="s">
        <v>23</v>
      </c>
      <c r="B748" s="3" t="s">
        <v>24</v>
      </c>
      <c r="C748" s="3" t="s">
        <v>35</v>
      </c>
      <c r="D748" s="3" t="s">
        <v>48</v>
      </c>
      <c r="E748" s="3" t="s">
        <v>30</v>
      </c>
      <c r="F748" s="3" t="s">
        <v>91</v>
      </c>
      <c r="G748" s="3">
        <v>2016</v>
      </c>
      <c r="H748" s="3" t="str">
        <f>CONCATENATE("64210525776")</f>
        <v>64210525776</v>
      </c>
      <c r="I748" s="3" t="s">
        <v>25</v>
      </c>
      <c r="J748" s="3" t="s">
        <v>26</v>
      </c>
      <c r="K748" s="3" t="str">
        <f t="shared" si="30"/>
        <v/>
      </c>
      <c r="L748" s="3" t="str">
        <f>CONCATENATE("13 13.1 4a")</f>
        <v>13 13.1 4a</v>
      </c>
      <c r="M748" s="3" t="str">
        <f>CONCATENATE("PRSCTN51T26L517S")</f>
        <v>PRSCTN51T26L517S</v>
      </c>
      <c r="N748" s="3" t="s">
        <v>856</v>
      </c>
      <c r="O748" s="3"/>
      <c r="P748" s="4">
        <v>42783</v>
      </c>
      <c r="Q748" s="3" t="s">
        <v>27</v>
      </c>
      <c r="R748" s="3" t="s">
        <v>28</v>
      </c>
      <c r="S748" s="3" t="s">
        <v>29</v>
      </c>
      <c r="T748" s="5">
        <v>2507.59</v>
      </c>
      <c r="U748" s="5">
        <v>1081.27</v>
      </c>
      <c r="V748" s="3">
        <v>998.52</v>
      </c>
      <c r="W748" s="3">
        <v>427.8</v>
      </c>
    </row>
    <row r="749" spans="1:23" ht="60.75">
      <c r="A749" s="3" t="s">
        <v>23</v>
      </c>
      <c r="B749" s="3" t="s">
        <v>24</v>
      </c>
      <c r="C749" s="3" t="s">
        <v>35</v>
      </c>
      <c r="D749" s="3" t="s">
        <v>43</v>
      </c>
      <c r="E749" s="3" t="s">
        <v>32</v>
      </c>
      <c r="F749" s="3" t="s">
        <v>78</v>
      </c>
      <c r="G749" s="3">
        <v>2016</v>
      </c>
      <c r="H749" s="3" t="str">
        <f>CONCATENATE("64240583803")</f>
        <v>64240583803</v>
      </c>
      <c r="I749" s="3" t="s">
        <v>25</v>
      </c>
      <c r="J749" s="3" t="s">
        <v>26</v>
      </c>
      <c r="K749" s="3" t="str">
        <f t="shared" si="30"/>
        <v/>
      </c>
      <c r="L749" s="3" t="str">
        <f>CONCATENATE("11 11.2 4b")</f>
        <v>11 11.2 4b</v>
      </c>
      <c r="M749" s="3" t="str">
        <f>CONCATENATE("CNTRRT70S13F135E")</f>
        <v>CNTRRT70S13F135E</v>
      </c>
      <c r="N749" s="3" t="s">
        <v>857</v>
      </c>
      <c r="O749" s="3"/>
      <c r="P749" s="4">
        <v>42783</v>
      </c>
      <c r="Q749" s="3" t="s">
        <v>27</v>
      </c>
      <c r="R749" s="3" t="s">
        <v>28</v>
      </c>
      <c r="S749" s="3" t="s">
        <v>29</v>
      </c>
      <c r="T749" s="5">
        <v>3675.72</v>
      </c>
      <c r="U749" s="5">
        <v>1584.97</v>
      </c>
      <c r="V749" s="5">
        <v>1463.67</v>
      </c>
      <c r="W749" s="3">
        <v>627.08000000000004</v>
      </c>
    </row>
    <row r="750" spans="1:23" ht="60.75">
      <c r="A750" s="3" t="s">
        <v>23</v>
      </c>
      <c r="B750" s="3" t="s">
        <v>24</v>
      </c>
      <c r="C750" s="3" t="s">
        <v>35</v>
      </c>
      <c r="D750" s="3" t="s">
        <v>36</v>
      </c>
      <c r="E750" s="3" t="s">
        <v>32</v>
      </c>
      <c r="F750" s="3" t="s">
        <v>208</v>
      </c>
      <c r="G750" s="3">
        <v>2016</v>
      </c>
      <c r="H750" s="3" t="str">
        <f>CONCATENATE("64240303459")</f>
        <v>64240303459</v>
      </c>
      <c r="I750" s="3" t="s">
        <v>25</v>
      </c>
      <c r="J750" s="3" t="s">
        <v>26</v>
      </c>
      <c r="K750" s="3" t="str">
        <f t="shared" ref="K750:K813" si="31">CONCATENATE("")</f>
        <v/>
      </c>
      <c r="L750" s="3" t="str">
        <f>CONCATENATE("11 11.2 4b")</f>
        <v>11 11.2 4b</v>
      </c>
      <c r="M750" s="3" t="str">
        <f>CONCATENATE("FRRNRC78D23A462S")</f>
        <v>FRRNRC78D23A462S</v>
      </c>
      <c r="N750" s="3" t="s">
        <v>858</v>
      </c>
      <c r="O750" s="3"/>
      <c r="P750" s="4">
        <v>42783</v>
      </c>
      <c r="Q750" s="3" t="s">
        <v>27</v>
      </c>
      <c r="R750" s="3" t="s">
        <v>28</v>
      </c>
      <c r="S750" s="3" t="s">
        <v>29</v>
      </c>
      <c r="T750" s="5">
        <v>2805.89</v>
      </c>
      <c r="U750" s="5">
        <v>1209.9000000000001</v>
      </c>
      <c r="V750" s="5">
        <v>1117.31</v>
      </c>
      <c r="W750" s="3">
        <v>478.68</v>
      </c>
    </row>
    <row r="751" spans="1:23" ht="60.75">
      <c r="A751" s="3" t="s">
        <v>23</v>
      </c>
      <c r="B751" s="3" t="s">
        <v>24</v>
      </c>
      <c r="C751" s="3" t="s">
        <v>35</v>
      </c>
      <c r="D751" s="3" t="s">
        <v>43</v>
      </c>
      <c r="E751" s="3" t="s">
        <v>32</v>
      </c>
      <c r="F751" s="3" t="s">
        <v>119</v>
      </c>
      <c r="G751" s="3">
        <v>2016</v>
      </c>
      <c r="H751" s="3" t="str">
        <f>CONCATENATE("64240677951")</f>
        <v>64240677951</v>
      </c>
      <c r="I751" s="3" t="s">
        <v>25</v>
      </c>
      <c r="J751" s="3" t="s">
        <v>26</v>
      </c>
      <c r="K751" s="3" t="str">
        <f t="shared" si="31"/>
        <v/>
      </c>
      <c r="L751" s="3" t="str">
        <f>CONCATENATE("10 10.1 4a")</f>
        <v>10 10.1 4a</v>
      </c>
      <c r="M751" s="3" t="str">
        <f>CONCATENATE("CFLDNL71E13B636N")</f>
        <v>CFLDNL71E13B636N</v>
      </c>
      <c r="N751" s="3" t="s">
        <v>859</v>
      </c>
      <c r="O751" s="3"/>
      <c r="P751" s="4">
        <v>42783</v>
      </c>
      <c r="Q751" s="3" t="s">
        <v>27</v>
      </c>
      <c r="R751" s="3" t="s">
        <v>28</v>
      </c>
      <c r="S751" s="3" t="s">
        <v>29</v>
      </c>
      <c r="T751" s="5">
        <v>2515.15</v>
      </c>
      <c r="U751" s="5">
        <v>1084.53</v>
      </c>
      <c r="V751" s="5">
        <v>1001.53</v>
      </c>
      <c r="W751" s="3">
        <v>429.09</v>
      </c>
    </row>
    <row r="752" spans="1:23" ht="60.75">
      <c r="A752" s="3" t="s">
        <v>23</v>
      </c>
      <c r="B752" s="3" t="s">
        <v>24</v>
      </c>
      <c r="C752" s="3" t="s">
        <v>35</v>
      </c>
      <c r="D752" s="3" t="s">
        <v>43</v>
      </c>
      <c r="E752" s="3" t="s">
        <v>32</v>
      </c>
      <c r="F752" s="3" t="s">
        <v>575</v>
      </c>
      <c r="G752" s="3">
        <v>2016</v>
      </c>
      <c r="H752" s="3" t="str">
        <f>CONCATENATE("64240316592")</f>
        <v>64240316592</v>
      </c>
      <c r="I752" s="3" t="s">
        <v>25</v>
      </c>
      <c r="J752" s="3" t="s">
        <v>26</v>
      </c>
      <c r="K752" s="3" t="str">
        <f t="shared" si="31"/>
        <v/>
      </c>
      <c r="L752" s="3" t="str">
        <f>CONCATENATE("11 11.2 4b")</f>
        <v>11 11.2 4b</v>
      </c>
      <c r="M752" s="3" t="str">
        <f>CONCATENATE("BNCNCL78B20D488K")</f>
        <v>BNCNCL78B20D488K</v>
      </c>
      <c r="N752" s="3" t="s">
        <v>860</v>
      </c>
      <c r="O752" s="3"/>
      <c r="P752" s="4">
        <v>42783</v>
      </c>
      <c r="Q752" s="3" t="s">
        <v>27</v>
      </c>
      <c r="R752" s="3" t="s">
        <v>28</v>
      </c>
      <c r="S752" s="3" t="s">
        <v>29</v>
      </c>
      <c r="T752" s="3">
        <v>920.37</v>
      </c>
      <c r="U752" s="3">
        <v>396.86</v>
      </c>
      <c r="V752" s="3">
        <v>366.49</v>
      </c>
      <c r="W752" s="3">
        <v>157.02000000000001</v>
      </c>
    </row>
    <row r="753" spans="1:23" ht="60.75">
      <c r="A753" s="3" t="s">
        <v>23</v>
      </c>
      <c r="B753" s="3" t="s">
        <v>24</v>
      </c>
      <c r="C753" s="3" t="s">
        <v>35</v>
      </c>
      <c r="D753" s="3" t="s">
        <v>36</v>
      </c>
      <c r="E753" s="3" t="s">
        <v>30</v>
      </c>
      <c r="F753" s="3" t="s">
        <v>323</v>
      </c>
      <c r="G753" s="3">
        <v>2016</v>
      </c>
      <c r="H753" s="3" t="str">
        <f>CONCATENATE("64240701835")</f>
        <v>64240701835</v>
      </c>
      <c r="I753" s="3" t="s">
        <v>25</v>
      </c>
      <c r="J753" s="3" t="s">
        <v>26</v>
      </c>
      <c r="K753" s="3" t="str">
        <f t="shared" si="31"/>
        <v/>
      </c>
      <c r="L753" s="3" t="str">
        <f>CONCATENATE("11 11.1 4b")</f>
        <v>11 11.1 4b</v>
      </c>
      <c r="M753" s="3" t="str">
        <f>CONCATENATE("BLLCST84M51H769P")</f>
        <v>BLLCST84M51H769P</v>
      </c>
      <c r="N753" s="3" t="s">
        <v>861</v>
      </c>
      <c r="O753" s="3"/>
      <c r="P753" s="4">
        <v>42783</v>
      </c>
      <c r="Q753" s="3" t="s">
        <v>27</v>
      </c>
      <c r="R753" s="3" t="s">
        <v>28</v>
      </c>
      <c r="S753" s="3" t="s">
        <v>29</v>
      </c>
      <c r="T753" s="5">
        <v>1417.4</v>
      </c>
      <c r="U753" s="3">
        <v>611.17999999999995</v>
      </c>
      <c r="V753" s="3">
        <v>564.41</v>
      </c>
      <c r="W753" s="3">
        <v>241.81</v>
      </c>
    </row>
    <row r="754" spans="1:23" ht="60.75">
      <c r="A754" s="3" t="s">
        <v>23</v>
      </c>
      <c r="B754" s="3" t="s">
        <v>24</v>
      </c>
      <c r="C754" s="3" t="s">
        <v>35</v>
      </c>
      <c r="D754" s="3" t="s">
        <v>48</v>
      </c>
      <c r="E754" s="3" t="s">
        <v>30</v>
      </c>
      <c r="F754" s="3" t="s">
        <v>57</v>
      </c>
      <c r="G754" s="3">
        <v>2016</v>
      </c>
      <c r="H754" s="3" t="str">
        <f>CONCATENATE("64240460259")</f>
        <v>64240460259</v>
      </c>
      <c r="I754" s="3" t="s">
        <v>25</v>
      </c>
      <c r="J754" s="3" t="s">
        <v>26</v>
      </c>
      <c r="K754" s="3" t="str">
        <f t="shared" si="31"/>
        <v/>
      </c>
      <c r="L754" s="3" t="str">
        <f>CONCATENATE("11 11.2 4b")</f>
        <v>11 11.2 4b</v>
      </c>
      <c r="M754" s="3" t="str">
        <f>CONCATENATE("SCMBND36C64I156N")</f>
        <v>SCMBND36C64I156N</v>
      </c>
      <c r="N754" s="3" t="s">
        <v>862</v>
      </c>
      <c r="O754" s="3"/>
      <c r="P754" s="4">
        <v>42783</v>
      </c>
      <c r="Q754" s="3" t="s">
        <v>27</v>
      </c>
      <c r="R754" s="3" t="s">
        <v>28</v>
      </c>
      <c r="S754" s="3" t="s">
        <v>29</v>
      </c>
      <c r="T754" s="5">
        <v>1226.72</v>
      </c>
      <c r="U754" s="3">
        <v>528.96</v>
      </c>
      <c r="V754" s="3">
        <v>488.48</v>
      </c>
      <c r="W754" s="3">
        <v>209.28</v>
      </c>
    </row>
    <row r="755" spans="1:23" ht="60.75">
      <c r="A755" s="3" t="s">
        <v>23</v>
      </c>
      <c r="B755" s="3" t="s">
        <v>24</v>
      </c>
      <c r="C755" s="3" t="s">
        <v>35</v>
      </c>
      <c r="D755" s="3" t="s">
        <v>43</v>
      </c>
      <c r="E755" s="3" t="s">
        <v>30</v>
      </c>
      <c r="F755" s="3" t="s">
        <v>199</v>
      </c>
      <c r="G755" s="3">
        <v>2016</v>
      </c>
      <c r="H755" s="3" t="str">
        <f>CONCATENATE("64210954711")</f>
        <v>64210954711</v>
      </c>
      <c r="I755" s="3" t="s">
        <v>25</v>
      </c>
      <c r="J755" s="3" t="s">
        <v>26</v>
      </c>
      <c r="K755" s="3" t="str">
        <f t="shared" si="31"/>
        <v/>
      </c>
      <c r="L755" s="3" t="str">
        <f>CONCATENATE("13 13.1 4a")</f>
        <v>13 13.1 4a</v>
      </c>
      <c r="M755" s="3" t="str">
        <f>CONCATENATE("PCAPLA55R01F310N")</f>
        <v>PCAPLA55R01F310N</v>
      </c>
      <c r="N755" s="3" t="s">
        <v>863</v>
      </c>
      <c r="O755" s="3"/>
      <c r="P755" s="4">
        <v>42783</v>
      </c>
      <c r="Q755" s="3" t="s">
        <v>27</v>
      </c>
      <c r="R755" s="3" t="s">
        <v>28</v>
      </c>
      <c r="S755" s="3" t="s">
        <v>29</v>
      </c>
      <c r="T755" s="3">
        <v>754.53</v>
      </c>
      <c r="U755" s="3">
        <v>325.35000000000002</v>
      </c>
      <c r="V755" s="3">
        <v>300.45</v>
      </c>
      <c r="W755" s="3">
        <v>128.72999999999999</v>
      </c>
    </row>
    <row r="756" spans="1:23" ht="60.75">
      <c r="A756" s="3" t="s">
        <v>23</v>
      </c>
      <c r="B756" s="3" t="s">
        <v>24</v>
      </c>
      <c r="C756" s="3" t="s">
        <v>35</v>
      </c>
      <c r="D756" s="3" t="s">
        <v>43</v>
      </c>
      <c r="E756" s="3" t="s">
        <v>30</v>
      </c>
      <c r="F756" s="3" t="s">
        <v>76</v>
      </c>
      <c r="G756" s="3">
        <v>2016</v>
      </c>
      <c r="H756" s="3" t="str">
        <f>CONCATENATE("64210128944")</f>
        <v>64210128944</v>
      </c>
      <c r="I756" s="3" t="s">
        <v>25</v>
      </c>
      <c r="J756" s="3" t="s">
        <v>26</v>
      </c>
      <c r="K756" s="3" t="str">
        <f t="shared" si="31"/>
        <v/>
      </c>
      <c r="L756" s="3" t="str">
        <f>CONCATENATE("13 13.1 4a")</f>
        <v>13 13.1 4a</v>
      </c>
      <c r="M756" s="3" t="str">
        <f>CONCATENATE("LBNLFA43C10F524T")</f>
        <v>LBNLFA43C10F524T</v>
      </c>
      <c r="N756" s="3" t="s">
        <v>864</v>
      </c>
      <c r="O756" s="3"/>
      <c r="P756" s="4">
        <v>42783</v>
      </c>
      <c r="Q756" s="3" t="s">
        <v>27</v>
      </c>
      <c r="R756" s="3" t="s">
        <v>28</v>
      </c>
      <c r="S756" s="3" t="s">
        <v>29</v>
      </c>
      <c r="T756" s="5">
        <v>1380.17</v>
      </c>
      <c r="U756" s="3">
        <v>595.13</v>
      </c>
      <c r="V756" s="3">
        <v>549.58000000000004</v>
      </c>
      <c r="W756" s="3">
        <v>235.46</v>
      </c>
    </row>
    <row r="757" spans="1:23" ht="60.75">
      <c r="A757" s="3" t="s">
        <v>23</v>
      </c>
      <c r="B757" s="3" t="s">
        <v>24</v>
      </c>
      <c r="C757" s="3" t="s">
        <v>35</v>
      </c>
      <c r="D757" s="3" t="s">
        <v>36</v>
      </c>
      <c r="E757" s="3" t="s">
        <v>42</v>
      </c>
      <c r="F757" s="3" t="s">
        <v>42</v>
      </c>
      <c r="G757" s="3">
        <v>2016</v>
      </c>
      <c r="H757" s="3" t="str">
        <f>CONCATENATE("64240702445")</f>
        <v>64240702445</v>
      </c>
      <c r="I757" s="3" t="s">
        <v>25</v>
      </c>
      <c r="J757" s="3" t="s">
        <v>26</v>
      </c>
      <c r="K757" s="3" t="str">
        <f t="shared" si="31"/>
        <v/>
      </c>
      <c r="L757" s="3" t="str">
        <f>CONCATENATE("11 11.1 4b")</f>
        <v>11 11.1 4b</v>
      </c>
      <c r="M757" s="3" t="str">
        <f>CONCATENATE("FRNGLI44B13F501D")</f>
        <v>FRNGLI44B13F501D</v>
      </c>
      <c r="N757" s="3" t="s">
        <v>865</v>
      </c>
      <c r="O757" s="3"/>
      <c r="P757" s="4">
        <v>42783</v>
      </c>
      <c r="Q757" s="3" t="s">
        <v>27</v>
      </c>
      <c r="R757" s="3" t="s">
        <v>28</v>
      </c>
      <c r="S757" s="3" t="s">
        <v>29</v>
      </c>
      <c r="T757" s="5">
        <v>10300.09</v>
      </c>
      <c r="U757" s="5">
        <v>4441.3999999999996</v>
      </c>
      <c r="V757" s="5">
        <v>4101.5</v>
      </c>
      <c r="W757" s="5">
        <v>1757.19</v>
      </c>
    </row>
    <row r="758" spans="1:23" ht="36.75">
      <c r="A758" s="3" t="s">
        <v>23</v>
      </c>
      <c r="B758" s="3" t="s">
        <v>24</v>
      </c>
      <c r="C758" s="3" t="s">
        <v>35</v>
      </c>
      <c r="D758" s="3" t="s">
        <v>39</v>
      </c>
      <c r="E758" s="3" t="s">
        <v>30</v>
      </c>
      <c r="F758" s="3" t="s">
        <v>533</v>
      </c>
      <c r="G758" s="3">
        <v>2016</v>
      </c>
      <c r="H758" s="3" t="str">
        <f>CONCATENATE("64210936973")</f>
        <v>64210936973</v>
      </c>
      <c r="I758" s="3" t="s">
        <v>25</v>
      </c>
      <c r="J758" s="3" t="s">
        <v>26</v>
      </c>
      <c r="K758" s="3" t="str">
        <f t="shared" si="31"/>
        <v/>
      </c>
      <c r="L758" s="3" t="str">
        <f>CONCATENATE("13 13.1 4a")</f>
        <v>13 13.1 4a</v>
      </c>
      <c r="M758" s="3" t="str">
        <f>CONCATENATE("02627340421")</f>
        <v>02627340421</v>
      </c>
      <c r="N758" s="3" t="s">
        <v>866</v>
      </c>
      <c r="O758" s="3"/>
      <c r="P758" s="4">
        <v>42783</v>
      </c>
      <c r="Q758" s="3" t="s">
        <v>27</v>
      </c>
      <c r="R758" s="3" t="s">
        <v>28</v>
      </c>
      <c r="S758" s="3" t="s">
        <v>29</v>
      </c>
      <c r="T758" s="3">
        <v>506.02</v>
      </c>
      <c r="U758" s="3">
        <v>218.2</v>
      </c>
      <c r="V758" s="3">
        <v>201.5</v>
      </c>
      <c r="W758" s="3">
        <v>86.32</v>
      </c>
    </row>
    <row r="759" spans="1:23" ht="72.75">
      <c r="A759" s="3" t="s">
        <v>23</v>
      </c>
      <c r="B759" s="3" t="s">
        <v>24</v>
      </c>
      <c r="C759" s="3" t="s">
        <v>35</v>
      </c>
      <c r="D759" s="3" t="s">
        <v>48</v>
      </c>
      <c r="E759" s="3" t="s">
        <v>33</v>
      </c>
      <c r="F759" s="3" t="s">
        <v>192</v>
      </c>
      <c r="G759" s="3">
        <v>2016</v>
      </c>
      <c r="H759" s="3" t="str">
        <f>CONCATENATE("64240260121")</f>
        <v>64240260121</v>
      </c>
      <c r="I759" s="3" t="s">
        <v>25</v>
      </c>
      <c r="J759" s="3" t="s">
        <v>26</v>
      </c>
      <c r="K759" s="3" t="str">
        <f t="shared" si="31"/>
        <v/>
      </c>
      <c r="L759" s="3" t="str">
        <f>CONCATENATE("11 11.2 4b")</f>
        <v>11 11.2 4b</v>
      </c>
      <c r="M759" s="3" t="str">
        <f>CONCATENATE("CNDMDE61M21G005A")</f>
        <v>CNDMDE61M21G005A</v>
      </c>
      <c r="N759" s="3" t="s">
        <v>867</v>
      </c>
      <c r="O759" s="3"/>
      <c r="P759" s="4">
        <v>42783</v>
      </c>
      <c r="Q759" s="3" t="s">
        <v>27</v>
      </c>
      <c r="R759" s="3" t="s">
        <v>28</v>
      </c>
      <c r="S759" s="3" t="s">
        <v>29</v>
      </c>
      <c r="T759" s="5">
        <v>9510.34</v>
      </c>
      <c r="U759" s="5">
        <v>4100.8599999999997</v>
      </c>
      <c r="V759" s="5">
        <v>3787.02</v>
      </c>
      <c r="W759" s="5">
        <v>1622.46</v>
      </c>
    </row>
    <row r="760" spans="1:23" ht="60.75">
      <c r="A760" s="3" t="s">
        <v>23</v>
      </c>
      <c r="B760" s="3" t="s">
        <v>24</v>
      </c>
      <c r="C760" s="3" t="s">
        <v>35</v>
      </c>
      <c r="D760" s="3" t="s">
        <v>48</v>
      </c>
      <c r="E760" s="3" t="s">
        <v>49</v>
      </c>
      <c r="F760" s="3" t="s">
        <v>80</v>
      </c>
      <c r="G760" s="3">
        <v>2016</v>
      </c>
      <c r="H760" s="3" t="str">
        <f>CONCATENATE("64210671752")</f>
        <v>64210671752</v>
      </c>
      <c r="I760" s="3" t="s">
        <v>25</v>
      </c>
      <c r="J760" s="3" t="s">
        <v>26</v>
      </c>
      <c r="K760" s="3" t="str">
        <f t="shared" si="31"/>
        <v/>
      </c>
      <c r="L760" s="3" t="str">
        <f>CONCATENATE("13 13.1 4a")</f>
        <v>13 13.1 4a</v>
      </c>
      <c r="M760" s="3" t="str">
        <f>CONCATENATE("LVRSTR55M24C267D")</f>
        <v>LVRSTR55M24C267D</v>
      </c>
      <c r="N760" s="3" t="s">
        <v>868</v>
      </c>
      <c r="O760" s="3"/>
      <c r="P760" s="4">
        <v>42783</v>
      </c>
      <c r="Q760" s="3" t="s">
        <v>27</v>
      </c>
      <c r="R760" s="3" t="s">
        <v>28</v>
      </c>
      <c r="S760" s="3" t="s">
        <v>29</v>
      </c>
      <c r="T760" s="5">
        <v>4590</v>
      </c>
      <c r="U760" s="5">
        <v>1979.21</v>
      </c>
      <c r="V760" s="5">
        <v>1827.74</v>
      </c>
      <c r="W760" s="3">
        <v>783.05</v>
      </c>
    </row>
    <row r="761" spans="1:23" ht="60.75">
      <c r="A761" s="3" t="s">
        <v>23</v>
      </c>
      <c r="B761" s="3" t="s">
        <v>24</v>
      </c>
      <c r="C761" s="3" t="s">
        <v>35</v>
      </c>
      <c r="D761" s="3" t="s">
        <v>39</v>
      </c>
      <c r="E761" s="3" t="s">
        <v>32</v>
      </c>
      <c r="F761" s="3" t="s">
        <v>117</v>
      </c>
      <c r="G761" s="3">
        <v>2016</v>
      </c>
      <c r="H761" s="3" t="str">
        <f>CONCATENATE("64240515045")</f>
        <v>64240515045</v>
      </c>
      <c r="I761" s="3" t="s">
        <v>25</v>
      </c>
      <c r="J761" s="3" t="s">
        <v>26</v>
      </c>
      <c r="K761" s="3" t="str">
        <f t="shared" si="31"/>
        <v/>
      </c>
      <c r="L761" s="3" t="str">
        <f>CONCATENATE("11 11.1 4b")</f>
        <v>11 11.1 4b</v>
      </c>
      <c r="M761" s="3" t="str">
        <f>CONCATENATE("STLSVT80E22B519X")</f>
        <v>STLSVT80E22B519X</v>
      </c>
      <c r="N761" s="3" t="s">
        <v>869</v>
      </c>
      <c r="O761" s="3"/>
      <c r="P761" s="4">
        <v>42783</v>
      </c>
      <c r="Q761" s="3" t="s">
        <v>27</v>
      </c>
      <c r="R761" s="3" t="s">
        <v>28</v>
      </c>
      <c r="S761" s="3" t="s">
        <v>29</v>
      </c>
      <c r="T761" s="5">
        <v>1016.16</v>
      </c>
      <c r="U761" s="3">
        <v>438.17</v>
      </c>
      <c r="V761" s="3">
        <v>404.63</v>
      </c>
      <c r="W761" s="3">
        <v>173.36</v>
      </c>
    </row>
    <row r="762" spans="1:23" ht="36.75">
      <c r="A762" s="3" t="s">
        <v>23</v>
      </c>
      <c r="B762" s="3" t="s">
        <v>24</v>
      </c>
      <c r="C762" s="3" t="s">
        <v>35</v>
      </c>
      <c r="D762" s="3" t="s">
        <v>36</v>
      </c>
      <c r="E762" s="3" t="s">
        <v>30</v>
      </c>
      <c r="F762" s="3" t="s">
        <v>86</v>
      </c>
      <c r="G762" s="3">
        <v>2016</v>
      </c>
      <c r="H762" s="3" t="str">
        <f>CONCATENATE("64210726309")</f>
        <v>64210726309</v>
      </c>
      <c r="I762" s="3" t="s">
        <v>25</v>
      </c>
      <c r="J762" s="3" t="s">
        <v>26</v>
      </c>
      <c r="K762" s="3" t="str">
        <f t="shared" si="31"/>
        <v/>
      </c>
      <c r="L762" s="3" t="str">
        <f>CONCATENATE("13 13.1 4a")</f>
        <v>13 13.1 4a</v>
      </c>
      <c r="M762" s="3" t="str">
        <f>CONCATENATE("01532860440")</f>
        <v>01532860440</v>
      </c>
      <c r="N762" s="3" t="s">
        <v>870</v>
      </c>
      <c r="O762" s="3"/>
      <c r="P762" s="4">
        <v>42783</v>
      </c>
      <c r="Q762" s="3" t="s">
        <v>27</v>
      </c>
      <c r="R762" s="3" t="s">
        <v>28</v>
      </c>
      <c r="S762" s="3" t="s">
        <v>29</v>
      </c>
      <c r="T762" s="5">
        <v>2140.2199999999998</v>
      </c>
      <c r="U762" s="3">
        <v>922.86</v>
      </c>
      <c r="V762" s="3">
        <v>852.24</v>
      </c>
      <c r="W762" s="3">
        <v>365.12</v>
      </c>
    </row>
    <row r="763" spans="1:23" ht="60.75">
      <c r="A763" s="3" t="s">
        <v>23</v>
      </c>
      <c r="B763" s="3" t="s">
        <v>24</v>
      </c>
      <c r="C763" s="3" t="s">
        <v>35</v>
      </c>
      <c r="D763" s="3" t="s">
        <v>43</v>
      </c>
      <c r="E763" s="3" t="s">
        <v>30</v>
      </c>
      <c r="F763" s="3" t="s">
        <v>124</v>
      </c>
      <c r="G763" s="3">
        <v>2016</v>
      </c>
      <c r="H763" s="3" t="str">
        <f>CONCATENATE("64210287294")</f>
        <v>64210287294</v>
      </c>
      <c r="I763" s="3" t="s">
        <v>25</v>
      </c>
      <c r="J763" s="3" t="s">
        <v>26</v>
      </c>
      <c r="K763" s="3" t="str">
        <f t="shared" si="31"/>
        <v/>
      </c>
      <c r="L763" s="3" t="str">
        <f>CONCATENATE("13 13.1 4a")</f>
        <v>13 13.1 4a</v>
      </c>
      <c r="M763" s="3" t="str">
        <f>CONCATENATE("BZTNNV62R52Z611N")</f>
        <v>BZTNNV62R52Z611N</v>
      </c>
      <c r="N763" s="3" t="s">
        <v>871</v>
      </c>
      <c r="O763" s="3"/>
      <c r="P763" s="4">
        <v>42783</v>
      </c>
      <c r="Q763" s="3" t="s">
        <v>27</v>
      </c>
      <c r="R763" s="3" t="s">
        <v>28</v>
      </c>
      <c r="S763" s="3" t="s">
        <v>29</v>
      </c>
      <c r="T763" s="3">
        <v>711.37</v>
      </c>
      <c r="U763" s="3">
        <v>306.74</v>
      </c>
      <c r="V763" s="3">
        <v>283.27</v>
      </c>
      <c r="W763" s="3">
        <v>121.36</v>
      </c>
    </row>
    <row r="764" spans="1:23" ht="60.75">
      <c r="A764" s="3" t="s">
        <v>23</v>
      </c>
      <c r="B764" s="3" t="s">
        <v>24</v>
      </c>
      <c r="C764" s="3" t="s">
        <v>35</v>
      </c>
      <c r="D764" s="3" t="s">
        <v>43</v>
      </c>
      <c r="E764" s="3" t="s">
        <v>34</v>
      </c>
      <c r="F764" s="3" t="s">
        <v>146</v>
      </c>
      <c r="G764" s="3">
        <v>2016</v>
      </c>
      <c r="H764" s="3" t="str">
        <f>CONCATENATE("64240552246")</f>
        <v>64240552246</v>
      </c>
      <c r="I764" s="3" t="s">
        <v>25</v>
      </c>
      <c r="J764" s="3" t="s">
        <v>26</v>
      </c>
      <c r="K764" s="3" t="str">
        <f t="shared" si="31"/>
        <v/>
      </c>
      <c r="L764" s="3" t="str">
        <f>CONCATENATE("11 11.2 4b")</f>
        <v>11 11.2 4b</v>
      </c>
      <c r="M764" s="3" t="str">
        <f>CONCATENATE("BRSNDA48A47Z103Q")</f>
        <v>BRSNDA48A47Z103Q</v>
      </c>
      <c r="N764" s="3" t="s">
        <v>872</v>
      </c>
      <c r="O764" s="3"/>
      <c r="P764" s="4">
        <v>42783</v>
      </c>
      <c r="Q764" s="3" t="s">
        <v>27</v>
      </c>
      <c r="R764" s="3" t="s">
        <v>28</v>
      </c>
      <c r="S764" s="3" t="s">
        <v>29</v>
      </c>
      <c r="T764" s="5">
        <v>8378.09</v>
      </c>
      <c r="U764" s="5">
        <v>3612.63</v>
      </c>
      <c r="V764" s="5">
        <v>3336.16</v>
      </c>
      <c r="W764" s="5">
        <v>1429.3</v>
      </c>
    </row>
    <row r="765" spans="1:23" ht="72.75">
      <c r="A765" s="3" t="s">
        <v>23</v>
      </c>
      <c r="B765" s="3" t="s">
        <v>24</v>
      </c>
      <c r="C765" s="3" t="s">
        <v>35</v>
      </c>
      <c r="D765" s="3" t="s">
        <v>36</v>
      </c>
      <c r="E765" s="3" t="s">
        <v>32</v>
      </c>
      <c r="F765" s="3" t="s">
        <v>65</v>
      </c>
      <c r="G765" s="3">
        <v>2016</v>
      </c>
      <c r="H765" s="3" t="str">
        <f>CONCATENATE("64240668141")</f>
        <v>64240668141</v>
      </c>
      <c r="I765" s="3" t="s">
        <v>25</v>
      </c>
      <c r="J765" s="3" t="s">
        <v>26</v>
      </c>
      <c r="K765" s="3" t="str">
        <f t="shared" si="31"/>
        <v/>
      </c>
      <c r="L765" s="3" t="str">
        <f>CONCATENATE("11 11.2 4b")</f>
        <v>11 11.2 4b</v>
      </c>
      <c r="M765" s="3" t="str">
        <f>CONCATENATE("GDESRG75A23A462H")</f>
        <v>GDESRG75A23A462H</v>
      </c>
      <c r="N765" s="3" t="s">
        <v>873</v>
      </c>
      <c r="O765" s="3"/>
      <c r="P765" s="4">
        <v>42783</v>
      </c>
      <c r="Q765" s="3" t="s">
        <v>27</v>
      </c>
      <c r="R765" s="3" t="s">
        <v>28</v>
      </c>
      <c r="S765" s="3" t="s">
        <v>29</v>
      </c>
      <c r="T765" s="5">
        <v>3381.37</v>
      </c>
      <c r="U765" s="5">
        <v>1458.05</v>
      </c>
      <c r="V765" s="5">
        <v>1346.46</v>
      </c>
      <c r="W765" s="3">
        <v>576.86</v>
      </c>
    </row>
    <row r="766" spans="1:23" ht="60.75">
      <c r="A766" s="3" t="s">
        <v>23</v>
      </c>
      <c r="B766" s="3" t="s">
        <v>24</v>
      </c>
      <c r="C766" s="3" t="s">
        <v>35</v>
      </c>
      <c r="D766" s="3" t="s">
        <v>48</v>
      </c>
      <c r="E766" s="3" t="s">
        <v>30</v>
      </c>
      <c r="F766" s="3" t="s">
        <v>91</v>
      </c>
      <c r="G766" s="3">
        <v>2016</v>
      </c>
      <c r="H766" s="3" t="str">
        <f>CONCATENATE("64240312815")</f>
        <v>64240312815</v>
      </c>
      <c r="I766" s="3" t="s">
        <v>25</v>
      </c>
      <c r="J766" s="3" t="s">
        <v>26</v>
      </c>
      <c r="K766" s="3" t="str">
        <f t="shared" si="31"/>
        <v/>
      </c>
      <c r="L766" s="3" t="str">
        <f>CONCATENATE("11 11.1 4b")</f>
        <v>11 11.1 4b</v>
      </c>
      <c r="M766" s="3" t="str">
        <f>CONCATENATE("CRSPQL70B12F051W")</f>
        <v>CRSPQL70B12F051W</v>
      </c>
      <c r="N766" s="3" t="s">
        <v>874</v>
      </c>
      <c r="O766" s="3"/>
      <c r="P766" s="4">
        <v>42783</v>
      </c>
      <c r="Q766" s="3" t="s">
        <v>27</v>
      </c>
      <c r="R766" s="3" t="s">
        <v>28</v>
      </c>
      <c r="S766" s="3" t="s">
        <v>29</v>
      </c>
      <c r="T766" s="5">
        <v>1943.72</v>
      </c>
      <c r="U766" s="3">
        <v>838.13</v>
      </c>
      <c r="V766" s="3">
        <v>773.99</v>
      </c>
      <c r="W766" s="3">
        <v>331.6</v>
      </c>
    </row>
    <row r="767" spans="1:23" ht="60.75">
      <c r="A767" s="3" t="s">
        <v>23</v>
      </c>
      <c r="B767" s="3" t="s">
        <v>24</v>
      </c>
      <c r="C767" s="3" t="s">
        <v>35</v>
      </c>
      <c r="D767" s="3" t="s">
        <v>36</v>
      </c>
      <c r="E767" s="3" t="s">
        <v>59</v>
      </c>
      <c r="F767" s="3" t="s">
        <v>62</v>
      </c>
      <c r="G767" s="3">
        <v>2016</v>
      </c>
      <c r="H767" s="3" t="str">
        <f>CONCATENATE("64240363479")</f>
        <v>64240363479</v>
      </c>
      <c r="I767" s="3" t="s">
        <v>25</v>
      </c>
      <c r="J767" s="3" t="s">
        <v>26</v>
      </c>
      <c r="K767" s="3" t="str">
        <f t="shared" si="31"/>
        <v/>
      </c>
      <c r="L767" s="3" t="str">
        <f>CONCATENATE("11 11.2 4b")</f>
        <v>11 11.2 4b</v>
      </c>
      <c r="M767" s="3" t="str">
        <f>CONCATENATE("STRDRN39L64D096W")</f>
        <v>STRDRN39L64D096W</v>
      </c>
      <c r="N767" s="3" t="s">
        <v>875</v>
      </c>
      <c r="O767" s="3"/>
      <c r="P767" s="4">
        <v>42783</v>
      </c>
      <c r="Q767" s="3" t="s">
        <v>27</v>
      </c>
      <c r="R767" s="3" t="s">
        <v>28</v>
      </c>
      <c r="S767" s="3" t="s">
        <v>29</v>
      </c>
      <c r="T767" s="5">
        <v>5607.34</v>
      </c>
      <c r="U767" s="5">
        <v>2417.89</v>
      </c>
      <c r="V767" s="5">
        <v>2232.84</v>
      </c>
      <c r="W767" s="3">
        <v>956.61</v>
      </c>
    </row>
    <row r="768" spans="1:23" ht="60.75">
      <c r="A768" s="3" t="s">
        <v>23</v>
      </c>
      <c r="B768" s="3" t="s">
        <v>24</v>
      </c>
      <c r="C768" s="3" t="s">
        <v>35</v>
      </c>
      <c r="D768" s="3" t="s">
        <v>48</v>
      </c>
      <c r="E768" s="3" t="s">
        <v>30</v>
      </c>
      <c r="F768" s="3" t="s">
        <v>111</v>
      </c>
      <c r="G768" s="3">
        <v>2016</v>
      </c>
      <c r="H768" s="3" t="str">
        <f>CONCATENATE("64240694956")</f>
        <v>64240694956</v>
      </c>
      <c r="I768" s="3" t="s">
        <v>25</v>
      </c>
      <c r="J768" s="3" t="s">
        <v>26</v>
      </c>
      <c r="K768" s="3" t="str">
        <f t="shared" si="31"/>
        <v/>
      </c>
      <c r="L768" s="3" t="str">
        <f>CONCATENATE("11 11.1 4b")</f>
        <v>11 11.1 4b</v>
      </c>
      <c r="M768" s="3" t="str">
        <f>CONCATENATE("STRLRA80P49L366O")</f>
        <v>STRLRA80P49L366O</v>
      </c>
      <c r="N768" s="3" t="s">
        <v>876</v>
      </c>
      <c r="O768" s="3"/>
      <c r="P768" s="4">
        <v>42783</v>
      </c>
      <c r="Q768" s="3" t="s">
        <v>27</v>
      </c>
      <c r="R768" s="3" t="s">
        <v>28</v>
      </c>
      <c r="S768" s="3" t="s">
        <v>29</v>
      </c>
      <c r="T768" s="5">
        <v>2027.74</v>
      </c>
      <c r="U768" s="3">
        <v>874.36</v>
      </c>
      <c r="V768" s="3">
        <v>807.45</v>
      </c>
      <c r="W768" s="3">
        <v>345.93</v>
      </c>
    </row>
    <row r="769" spans="1:23" ht="60.75">
      <c r="A769" s="3" t="s">
        <v>23</v>
      </c>
      <c r="B769" s="3" t="s">
        <v>24</v>
      </c>
      <c r="C769" s="3" t="s">
        <v>35</v>
      </c>
      <c r="D769" s="3" t="s">
        <v>39</v>
      </c>
      <c r="E769" s="3" t="s">
        <v>32</v>
      </c>
      <c r="F769" s="3" t="s">
        <v>69</v>
      </c>
      <c r="G769" s="3">
        <v>2016</v>
      </c>
      <c r="H769" s="3" t="str">
        <f>CONCATENATE("64210373052")</f>
        <v>64210373052</v>
      </c>
      <c r="I769" s="3" t="s">
        <v>25</v>
      </c>
      <c r="J769" s="3" t="s">
        <v>26</v>
      </c>
      <c r="K769" s="3" t="str">
        <f t="shared" si="31"/>
        <v/>
      </c>
      <c r="L769" s="3" t="str">
        <f>CONCATENATE("13 13.1 4a")</f>
        <v>13 13.1 4a</v>
      </c>
      <c r="M769" s="3" t="str">
        <f>CONCATENATE("BLGCLD86M17Z129O")</f>
        <v>BLGCLD86M17Z129O</v>
      </c>
      <c r="N769" s="3" t="s">
        <v>497</v>
      </c>
      <c r="O769" s="3"/>
      <c r="P769" s="4">
        <v>42783</v>
      </c>
      <c r="Q769" s="3" t="s">
        <v>27</v>
      </c>
      <c r="R769" s="3" t="s">
        <v>28</v>
      </c>
      <c r="S769" s="3" t="s">
        <v>29</v>
      </c>
      <c r="T769" s="3">
        <v>793.19</v>
      </c>
      <c r="U769" s="3">
        <v>342.02</v>
      </c>
      <c r="V769" s="3">
        <v>315.85000000000002</v>
      </c>
      <c r="W769" s="3">
        <v>135.32</v>
      </c>
    </row>
    <row r="770" spans="1:23" ht="60.75">
      <c r="A770" s="3" t="s">
        <v>23</v>
      </c>
      <c r="B770" s="3" t="s">
        <v>24</v>
      </c>
      <c r="C770" s="3" t="s">
        <v>35</v>
      </c>
      <c r="D770" s="3" t="s">
        <v>48</v>
      </c>
      <c r="E770" s="3" t="s">
        <v>30</v>
      </c>
      <c r="F770" s="3" t="s">
        <v>111</v>
      </c>
      <c r="G770" s="3">
        <v>2016</v>
      </c>
      <c r="H770" s="3" t="str">
        <f>CONCATENATE("64240672903")</f>
        <v>64240672903</v>
      </c>
      <c r="I770" s="3" t="s">
        <v>25</v>
      </c>
      <c r="J770" s="3" t="s">
        <v>26</v>
      </c>
      <c r="K770" s="3" t="str">
        <f t="shared" si="31"/>
        <v/>
      </c>
      <c r="L770" s="3" t="str">
        <f>CONCATENATE("11 11.2 4b")</f>
        <v>11 11.2 4b</v>
      </c>
      <c r="M770" s="3" t="str">
        <f>CONCATENATE("VLIDNI45D19L191E")</f>
        <v>VLIDNI45D19L191E</v>
      </c>
      <c r="N770" s="3" t="s">
        <v>877</v>
      </c>
      <c r="O770" s="3"/>
      <c r="P770" s="4">
        <v>42783</v>
      </c>
      <c r="Q770" s="3" t="s">
        <v>27</v>
      </c>
      <c r="R770" s="3" t="s">
        <v>28</v>
      </c>
      <c r="S770" s="3" t="s">
        <v>29</v>
      </c>
      <c r="T770" s="5">
        <v>1340.94</v>
      </c>
      <c r="U770" s="3">
        <v>578.21</v>
      </c>
      <c r="V770" s="3">
        <v>533.96</v>
      </c>
      <c r="W770" s="3">
        <v>228.77</v>
      </c>
    </row>
    <row r="771" spans="1:23" ht="60.75">
      <c r="A771" s="3" t="s">
        <v>23</v>
      </c>
      <c r="B771" s="3" t="s">
        <v>24</v>
      </c>
      <c r="C771" s="3" t="s">
        <v>35</v>
      </c>
      <c r="D771" s="3" t="s">
        <v>39</v>
      </c>
      <c r="E771" s="3" t="s">
        <v>32</v>
      </c>
      <c r="F771" s="3" t="s">
        <v>69</v>
      </c>
      <c r="G771" s="3">
        <v>2016</v>
      </c>
      <c r="H771" s="3" t="str">
        <f>CONCATENATE("64210372203")</f>
        <v>64210372203</v>
      </c>
      <c r="I771" s="3" t="s">
        <v>25</v>
      </c>
      <c r="J771" s="3" t="s">
        <v>26</v>
      </c>
      <c r="K771" s="3" t="str">
        <f t="shared" si="31"/>
        <v/>
      </c>
      <c r="L771" s="3" t="str">
        <f>CONCATENATE("13 13.1 4a")</f>
        <v>13 13.1 4a</v>
      </c>
      <c r="M771" s="3" t="str">
        <f>CONCATENATE("BDYMLN71E42Z100O")</f>
        <v>BDYMLN71E42Z100O</v>
      </c>
      <c r="N771" s="3" t="s">
        <v>878</v>
      </c>
      <c r="O771" s="3"/>
      <c r="P771" s="4">
        <v>42783</v>
      </c>
      <c r="Q771" s="3" t="s">
        <v>27</v>
      </c>
      <c r="R771" s="3" t="s">
        <v>28</v>
      </c>
      <c r="S771" s="3" t="s">
        <v>29</v>
      </c>
      <c r="T771" s="5">
        <v>2009.57</v>
      </c>
      <c r="U771" s="3">
        <v>866.53</v>
      </c>
      <c r="V771" s="3">
        <v>800.21</v>
      </c>
      <c r="W771" s="3">
        <v>342.83</v>
      </c>
    </row>
    <row r="772" spans="1:23" ht="36.75">
      <c r="A772" s="3" t="s">
        <v>23</v>
      </c>
      <c r="B772" s="3" t="s">
        <v>24</v>
      </c>
      <c r="C772" s="3" t="s">
        <v>35</v>
      </c>
      <c r="D772" s="3" t="s">
        <v>48</v>
      </c>
      <c r="E772" s="3" t="s">
        <v>49</v>
      </c>
      <c r="F772" s="3" t="s">
        <v>50</v>
      </c>
      <c r="G772" s="3">
        <v>2016</v>
      </c>
      <c r="H772" s="3" t="str">
        <f>CONCATENATE("64240275061")</f>
        <v>64240275061</v>
      </c>
      <c r="I772" s="3" t="s">
        <v>25</v>
      </c>
      <c r="J772" s="3" t="s">
        <v>26</v>
      </c>
      <c r="K772" s="3" t="str">
        <f t="shared" si="31"/>
        <v/>
      </c>
      <c r="L772" s="3" t="str">
        <f>CONCATENATE("11 11.2 4b")</f>
        <v>11 11.2 4b</v>
      </c>
      <c r="M772" s="3" t="str">
        <f>CONCATENATE("01537580431")</f>
        <v>01537580431</v>
      </c>
      <c r="N772" s="3" t="s">
        <v>879</v>
      </c>
      <c r="O772" s="3"/>
      <c r="P772" s="4">
        <v>42783</v>
      </c>
      <c r="Q772" s="3" t="s">
        <v>27</v>
      </c>
      <c r="R772" s="3" t="s">
        <v>28</v>
      </c>
      <c r="S772" s="3" t="s">
        <v>29</v>
      </c>
      <c r="T772" s="5">
        <v>2382.37</v>
      </c>
      <c r="U772" s="5">
        <v>1027.28</v>
      </c>
      <c r="V772" s="3">
        <v>948.66</v>
      </c>
      <c r="W772" s="3">
        <v>406.43</v>
      </c>
    </row>
    <row r="773" spans="1:23" ht="36.75">
      <c r="A773" s="3" t="s">
        <v>23</v>
      </c>
      <c r="B773" s="3" t="s">
        <v>24</v>
      </c>
      <c r="C773" s="3" t="s">
        <v>35</v>
      </c>
      <c r="D773" s="3" t="s">
        <v>48</v>
      </c>
      <c r="E773" s="3" t="s">
        <v>33</v>
      </c>
      <c r="F773" s="3" t="s">
        <v>212</v>
      </c>
      <c r="G773" s="3">
        <v>2016</v>
      </c>
      <c r="H773" s="3" t="str">
        <f>CONCATENATE("64240762415")</f>
        <v>64240762415</v>
      </c>
      <c r="I773" s="3" t="s">
        <v>25</v>
      </c>
      <c r="J773" s="3" t="s">
        <v>26</v>
      </c>
      <c r="K773" s="3" t="str">
        <f t="shared" si="31"/>
        <v/>
      </c>
      <c r="L773" s="3" t="str">
        <f>CONCATENATE("11 11.1 4b")</f>
        <v>11 11.1 4b</v>
      </c>
      <c r="M773" s="3" t="str">
        <f>CONCATENATE("01908360439")</f>
        <v>01908360439</v>
      </c>
      <c r="N773" s="3" t="s">
        <v>880</v>
      </c>
      <c r="O773" s="3"/>
      <c r="P773" s="4">
        <v>42783</v>
      </c>
      <c r="Q773" s="3" t="s">
        <v>27</v>
      </c>
      <c r="R773" s="3" t="s">
        <v>28</v>
      </c>
      <c r="S773" s="3" t="s">
        <v>29</v>
      </c>
      <c r="T773" s="3">
        <v>899.6</v>
      </c>
      <c r="U773" s="3">
        <v>387.91</v>
      </c>
      <c r="V773" s="3">
        <v>358.22</v>
      </c>
      <c r="W773" s="3">
        <v>153.47</v>
      </c>
    </row>
    <row r="774" spans="1:23" ht="60.75">
      <c r="A774" s="3" t="s">
        <v>23</v>
      </c>
      <c r="B774" s="3" t="s">
        <v>24</v>
      </c>
      <c r="C774" s="3" t="s">
        <v>35</v>
      </c>
      <c r="D774" s="3" t="s">
        <v>43</v>
      </c>
      <c r="E774" s="3" t="s">
        <v>30</v>
      </c>
      <c r="F774" s="3" t="s">
        <v>104</v>
      </c>
      <c r="G774" s="3">
        <v>2016</v>
      </c>
      <c r="H774" s="3" t="str">
        <f>CONCATENATE("64240286589")</f>
        <v>64240286589</v>
      </c>
      <c r="I774" s="3" t="s">
        <v>25</v>
      </c>
      <c r="J774" s="3" t="s">
        <v>26</v>
      </c>
      <c r="K774" s="3" t="str">
        <f t="shared" si="31"/>
        <v/>
      </c>
      <c r="L774" s="3" t="str">
        <f>CONCATENATE("11 11.2 4b")</f>
        <v>11 11.2 4b</v>
      </c>
      <c r="M774" s="3" t="str">
        <f>CONCATENATE("DRNLNE58L52A035B")</f>
        <v>DRNLNE58L52A035B</v>
      </c>
      <c r="N774" s="3" t="s">
        <v>882</v>
      </c>
      <c r="O774" s="3"/>
      <c r="P774" s="4">
        <v>42783</v>
      </c>
      <c r="Q774" s="3" t="s">
        <v>27</v>
      </c>
      <c r="R774" s="3" t="s">
        <v>28</v>
      </c>
      <c r="S774" s="3" t="s">
        <v>29</v>
      </c>
      <c r="T774" s="5">
        <v>3707.15</v>
      </c>
      <c r="U774" s="5">
        <v>1598.52</v>
      </c>
      <c r="V774" s="5">
        <v>1476.19</v>
      </c>
      <c r="W774" s="3">
        <v>632.44000000000005</v>
      </c>
    </row>
    <row r="775" spans="1:23" ht="60.75">
      <c r="A775" s="3" t="s">
        <v>23</v>
      </c>
      <c r="B775" s="3" t="s">
        <v>24</v>
      </c>
      <c r="C775" s="3" t="s">
        <v>35</v>
      </c>
      <c r="D775" s="3" t="s">
        <v>36</v>
      </c>
      <c r="E775" s="3" t="s">
        <v>42</v>
      </c>
      <c r="F775" s="3" t="s">
        <v>42</v>
      </c>
      <c r="G775" s="3">
        <v>2016</v>
      </c>
      <c r="H775" s="3" t="str">
        <f>CONCATENATE("64240663472")</f>
        <v>64240663472</v>
      </c>
      <c r="I775" s="3" t="s">
        <v>25</v>
      </c>
      <c r="J775" s="3" t="s">
        <v>26</v>
      </c>
      <c r="K775" s="3" t="str">
        <f t="shared" si="31"/>
        <v/>
      </c>
      <c r="L775" s="3" t="str">
        <f>CONCATENATE("11 11.2 4b")</f>
        <v>11 11.2 4b</v>
      </c>
      <c r="M775" s="3" t="str">
        <f>CONCATENATE("GRGCTA61L50H769K")</f>
        <v>GRGCTA61L50H769K</v>
      </c>
      <c r="N775" s="3" t="s">
        <v>883</v>
      </c>
      <c r="O775" s="3"/>
      <c r="P775" s="4">
        <v>42783</v>
      </c>
      <c r="Q775" s="3" t="s">
        <v>27</v>
      </c>
      <c r="R775" s="3" t="s">
        <v>28</v>
      </c>
      <c r="S775" s="3" t="s">
        <v>29</v>
      </c>
      <c r="T775" s="5">
        <v>1692.28</v>
      </c>
      <c r="U775" s="3">
        <v>729.71</v>
      </c>
      <c r="V775" s="3">
        <v>673.87</v>
      </c>
      <c r="W775" s="3">
        <v>288.7</v>
      </c>
    </row>
    <row r="776" spans="1:23" ht="60.75">
      <c r="A776" s="3" t="s">
        <v>23</v>
      </c>
      <c r="B776" s="3" t="s">
        <v>24</v>
      </c>
      <c r="C776" s="3" t="s">
        <v>35</v>
      </c>
      <c r="D776" s="3" t="s">
        <v>36</v>
      </c>
      <c r="E776" s="3" t="s">
        <v>30</v>
      </c>
      <c r="F776" s="3" t="s">
        <v>37</v>
      </c>
      <c r="G776" s="3">
        <v>2016</v>
      </c>
      <c r="H776" s="3" t="str">
        <f>CONCATENATE("64240488441")</f>
        <v>64240488441</v>
      </c>
      <c r="I776" s="3" t="s">
        <v>25</v>
      </c>
      <c r="J776" s="3" t="s">
        <v>26</v>
      </c>
      <c r="K776" s="3" t="str">
        <f t="shared" si="31"/>
        <v/>
      </c>
      <c r="L776" s="3" t="str">
        <f>CONCATENATE("10 10.1 4b")</f>
        <v>10 10.1 4b</v>
      </c>
      <c r="M776" s="3" t="str">
        <f>CONCATENATE("TRNGZL54T48H588K")</f>
        <v>TRNGZL54T48H588K</v>
      </c>
      <c r="N776" s="3" t="s">
        <v>884</v>
      </c>
      <c r="O776" s="3"/>
      <c r="P776" s="4">
        <v>42783</v>
      </c>
      <c r="Q776" s="3" t="s">
        <v>27</v>
      </c>
      <c r="R776" s="3" t="s">
        <v>28</v>
      </c>
      <c r="S776" s="3" t="s">
        <v>29</v>
      </c>
      <c r="T776" s="5">
        <v>2492.44</v>
      </c>
      <c r="U776" s="5">
        <v>1074.74</v>
      </c>
      <c r="V776" s="3">
        <v>992.49</v>
      </c>
      <c r="W776" s="3">
        <v>425.21</v>
      </c>
    </row>
    <row r="777" spans="1:23" ht="60.75">
      <c r="A777" s="3" t="s">
        <v>23</v>
      </c>
      <c r="B777" s="3" t="s">
        <v>24</v>
      </c>
      <c r="C777" s="3" t="s">
        <v>35</v>
      </c>
      <c r="D777" s="3" t="s">
        <v>36</v>
      </c>
      <c r="E777" s="3" t="s">
        <v>33</v>
      </c>
      <c r="F777" s="3" t="s">
        <v>89</v>
      </c>
      <c r="G777" s="3">
        <v>2016</v>
      </c>
      <c r="H777" s="3" t="str">
        <f>CONCATENATE("64210607897")</f>
        <v>64210607897</v>
      </c>
      <c r="I777" s="3" t="s">
        <v>25</v>
      </c>
      <c r="J777" s="3" t="s">
        <v>26</v>
      </c>
      <c r="K777" s="3" t="str">
        <f t="shared" si="31"/>
        <v/>
      </c>
      <c r="L777" s="3" t="str">
        <f>CONCATENATE("13 13.1 4a")</f>
        <v>13 13.1 4a</v>
      </c>
      <c r="M777" s="3" t="str">
        <f>CONCATENATE("MLACRD67S01G289N")</f>
        <v>MLACRD67S01G289N</v>
      </c>
      <c r="N777" s="3" t="s">
        <v>885</v>
      </c>
      <c r="O777" s="3"/>
      <c r="P777" s="4">
        <v>42783</v>
      </c>
      <c r="Q777" s="3" t="s">
        <v>27</v>
      </c>
      <c r="R777" s="3" t="s">
        <v>28</v>
      </c>
      <c r="S777" s="3" t="s">
        <v>29</v>
      </c>
      <c r="T777" s="5">
        <v>3569.54</v>
      </c>
      <c r="U777" s="5">
        <v>1539.19</v>
      </c>
      <c r="V777" s="5">
        <v>1421.39</v>
      </c>
      <c r="W777" s="3">
        <v>608.96</v>
      </c>
    </row>
    <row r="778" spans="1:23" ht="60.75">
      <c r="A778" s="3" t="s">
        <v>23</v>
      </c>
      <c r="B778" s="3" t="s">
        <v>24</v>
      </c>
      <c r="C778" s="3" t="s">
        <v>35</v>
      </c>
      <c r="D778" s="3" t="s">
        <v>43</v>
      </c>
      <c r="E778" s="3" t="s">
        <v>30</v>
      </c>
      <c r="F778" s="3" t="s">
        <v>131</v>
      </c>
      <c r="G778" s="3">
        <v>2016</v>
      </c>
      <c r="H778" s="3" t="str">
        <f>CONCATENATE("64210943052")</f>
        <v>64210943052</v>
      </c>
      <c r="I778" s="3" t="s">
        <v>25</v>
      </c>
      <c r="J778" s="3" t="s">
        <v>26</v>
      </c>
      <c r="K778" s="3" t="str">
        <f t="shared" si="31"/>
        <v/>
      </c>
      <c r="L778" s="3" t="str">
        <f>CONCATENATE("13 13.1 4a")</f>
        <v>13 13.1 4a</v>
      </c>
      <c r="M778" s="3" t="str">
        <f>CONCATENATE("LSIRGA38L09F497X")</f>
        <v>LSIRGA38L09F497X</v>
      </c>
      <c r="N778" s="3" t="s">
        <v>887</v>
      </c>
      <c r="O778" s="3"/>
      <c r="P778" s="4">
        <v>42783</v>
      </c>
      <c r="Q778" s="3" t="s">
        <v>27</v>
      </c>
      <c r="R778" s="3" t="s">
        <v>28</v>
      </c>
      <c r="S778" s="3" t="s">
        <v>29</v>
      </c>
      <c r="T778" s="5">
        <v>3428.16</v>
      </c>
      <c r="U778" s="5">
        <v>1478.22</v>
      </c>
      <c r="V778" s="5">
        <v>1365.09</v>
      </c>
      <c r="W778" s="3">
        <v>584.85</v>
      </c>
    </row>
    <row r="779" spans="1:23" ht="60.75">
      <c r="A779" s="3" t="s">
        <v>23</v>
      </c>
      <c r="B779" s="3" t="s">
        <v>24</v>
      </c>
      <c r="C779" s="3" t="s">
        <v>35</v>
      </c>
      <c r="D779" s="3" t="s">
        <v>48</v>
      </c>
      <c r="E779" s="3" t="s">
        <v>32</v>
      </c>
      <c r="F779" s="3" t="s">
        <v>129</v>
      </c>
      <c r="G779" s="3">
        <v>2016</v>
      </c>
      <c r="H779" s="3" t="str">
        <f>CONCATENATE("64240183497")</f>
        <v>64240183497</v>
      </c>
      <c r="I779" s="3" t="s">
        <v>31</v>
      </c>
      <c r="J779" s="3" t="s">
        <v>26</v>
      </c>
      <c r="K779" s="3" t="str">
        <f t="shared" si="31"/>
        <v/>
      </c>
      <c r="L779" s="3" t="str">
        <f>CONCATENATE("11 11.1 4b")</f>
        <v>11 11.1 4b</v>
      </c>
      <c r="M779" s="3" t="str">
        <f>CONCATENATE("NGLRLL54B58C704B")</f>
        <v>NGLRLL54B58C704B</v>
      </c>
      <c r="N779" s="3" t="s">
        <v>888</v>
      </c>
      <c r="O779" s="3"/>
      <c r="P779" s="4">
        <v>42783</v>
      </c>
      <c r="Q779" s="3" t="s">
        <v>27</v>
      </c>
      <c r="R779" s="3" t="s">
        <v>28</v>
      </c>
      <c r="S779" s="3" t="s">
        <v>29</v>
      </c>
      <c r="T779" s="5">
        <v>1632.33</v>
      </c>
      <c r="U779" s="3">
        <v>703.86</v>
      </c>
      <c r="V779" s="3">
        <v>649.99</v>
      </c>
      <c r="W779" s="3">
        <v>278.48</v>
      </c>
    </row>
    <row r="780" spans="1:23" ht="60.75">
      <c r="A780" s="3" t="s">
        <v>23</v>
      </c>
      <c r="B780" s="3" t="s">
        <v>24</v>
      </c>
      <c r="C780" s="3" t="s">
        <v>35</v>
      </c>
      <c r="D780" s="3" t="s">
        <v>36</v>
      </c>
      <c r="E780" s="3" t="s">
        <v>33</v>
      </c>
      <c r="F780" s="3" t="s">
        <v>89</v>
      </c>
      <c r="G780" s="3">
        <v>2016</v>
      </c>
      <c r="H780" s="3" t="str">
        <f>CONCATENATE("64240518718")</f>
        <v>64240518718</v>
      </c>
      <c r="I780" s="3" t="s">
        <v>25</v>
      </c>
      <c r="J780" s="3" t="s">
        <v>26</v>
      </c>
      <c r="K780" s="3" t="str">
        <f t="shared" si="31"/>
        <v/>
      </c>
      <c r="L780" s="3" t="str">
        <f>CONCATENATE("11 11.1 4b")</f>
        <v>11 11.1 4b</v>
      </c>
      <c r="M780" s="3" t="str">
        <f>CONCATENATE("FRACST76C42Z129T")</f>
        <v>FRACST76C42Z129T</v>
      </c>
      <c r="N780" s="3" t="s">
        <v>889</v>
      </c>
      <c r="O780" s="3"/>
      <c r="P780" s="4">
        <v>42783</v>
      </c>
      <c r="Q780" s="3" t="s">
        <v>27</v>
      </c>
      <c r="R780" s="3" t="s">
        <v>28</v>
      </c>
      <c r="S780" s="3" t="s">
        <v>29</v>
      </c>
      <c r="T780" s="3">
        <v>944.21</v>
      </c>
      <c r="U780" s="3">
        <v>407.14</v>
      </c>
      <c r="V780" s="3">
        <v>375.98</v>
      </c>
      <c r="W780" s="3">
        <v>161.09</v>
      </c>
    </row>
    <row r="781" spans="1:23" ht="36.75">
      <c r="A781" s="3" t="s">
        <v>23</v>
      </c>
      <c r="B781" s="3" t="s">
        <v>24</v>
      </c>
      <c r="C781" s="3" t="s">
        <v>35</v>
      </c>
      <c r="D781" s="3" t="s">
        <v>43</v>
      </c>
      <c r="E781" s="3" t="s">
        <v>49</v>
      </c>
      <c r="F781" s="3" t="s">
        <v>276</v>
      </c>
      <c r="G781" s="3">
        <v>2016</v>
      </c>
      <c r="H781" s="3" t="str">
        <f>CONCATENATE("64210527640")</f>
        <v>64210527640</v>
      </c>
      <c r="I781" s="3" t="s">
        <v>25</v>
      </c>
      <c r="J781" s="3" t="s">
        <v>26</v>
      </c>
      <c r="K781" s="3" t="str">
        <f t="shared" si="31"/>
        <v/>
      </c>
      <c r="L781" s="3" t="str">
        <f>CONCATENATE("13 13.1 4a")</f>
        <v>13 13.1 4a</v>
      </c>
      <c r="M781" s="3" t="str">
        <f>CONCATENATE("02526300419")</f>
        <v>02526300419</v>
      </c>
      <c r="N781" s="3" t="s">
        <v>587</v>
      </c>
      <c r="O781" s="3"/>
      <c r="P781" s="4">
        <v>42783</v>
      </c>
      <c r="Q781" s="3" t="s">
        <v>27</v>
      </c>
      <c r="R781" s="3" t="s">
        <v>28</v>
      </c>
      <c r="S781" s="3" t="s">
        <v>29</v>
      </c>
      <c r="T781" s="5">
        <v>4590</v>
      </c>
      <c r="U781" s="5">
        <v>1979.21</v>
      </c>
      <c r="V781" s="5">
        <v>1827.74</v>
      </c>
      <c r="W781" s="3">
        <v>783.05</v>
      </c>
    </row>
    <row r="782" spans="1:23" ht="60.75">
      <c r="A782" s="3" t="s">
        <v>23</v>
      </c>
      <c r="B782" s="3" t="s">
        <v>24</v>
      </c>
      <c r="C782" s="3" t="s">
        <v>35</v>
      </c>
      <c r="D782" s="3" t="s">
        <v>39</v>
      </c>
      <c r="E782" s="3" t="s">
        <v>34</v>
      </c>
      <c r="F782" s="3" t="s">
        <v>170</v>
      </c>
      <c r="G782" s="3">
        <v>2016</v>
      </c>
      <c r="H782" s="3" t="str">
        <f>CONCATENATE("64240676326")</f>
        <v>64240676326</v>
      </c>
      <c r="I782" s="3" t="s">
        <v>25</v>
      </c>
      <c r="J782" s="3" t="s">
        <v>26</v>
      </c>
      <c r="K782" s="3" t="str">
        <f t="shared" si="31"/>
        <v/>
      </c>
      <c r="L782" s="3" t="str">
        <f>CONCATENATE("11 11.2 4b")</f>
        <v>11 11.2 4b</v>
      </c>
      <c r="M782" s="3" t="str">
        <f>CONCATENATE("MNTMRC82C08I608Y")</f>
        <v>MNTMRC82C08I608Y</v>
      </c>
      <c r="N782" s="3" t="s">
        <v>890</v>
      </c>
      <c r="O782" s="3"/>
      <c r="P782" s="4">
        <v>42783</v>
      </c>
      <c r="Q782" s="3" t="s">
        <v>27</v>
      </c>
      <c r="R782" s="3" t="s">
        <v>28</v>
      </c>
      <c r="S782" s="3" t="s">
        <v>29</v>
      </c>
      <c r="T782" s="5">
        <v>16589.7</v>
      </c>
      <c r="U782" s="5">
        <v>7153.48</v>
      </c>
      <c r="V782" s="5">
        <v>6606.02</v>
      </c>
      <c r="W782" s="5">
        <v>2830.2</v>
      </c>
    </row>
    <row r="783" spans="1:23" ht="60.75">
      <c r="A783" s="3" t="s">
        <v>23</v>
      </c>
      <c r="B783" s="3" t="s">
        <v>24</v>
      </c>
      <c r="C783" s="3" t="s">
        <v>35</v>
      </c>
      <c r="D783" s="3" t="s">
        <v>39</v>
      </c>
      <c r="E783" s="3" t="s">
        <v>32</v>
      </c>
      <c r="F783" s="3" t="s">
        <v>215</v>
      </c>
      <c r="G783" s="3">
        <v>2016</v>
      </c>
      <c r="H783" s="3" t="str">
        <f>CONCATENATE("64240546560")</f>
        <v>64240546560</v>
      </c>
      <c r="I783" s="3" t="s">
        <v>25</v>
      </c>
      <c r="J783" s="3" t="s">
        <v>26</v>
      </c>
      <c r="K783" s="3" t="str">
        <f t="shared" si="31"/>
        <v/>
      </c>
      <c r="L783" s="3" t="str">
        <f>CONCATENATE("11 11.1 4b")</f>
        <v>11 11.1 4b</v>
      </c>
      <c r="M783" s="3" t="str">
        <f>CONCATENATE("GMPLLL66E59E388U")</f>
        <v>GMPLLL66E59E388U</v>
      </c>
      <c r="N783" s="3" t="s">
        <v>891</v>
      </c>
      <c r="O783" s="3"/>
      <c r="P783" s="4">
        <v>42783</v>
      </c>
      <c r="Q783" s="3" t="s">
        <v>27</v>
      </c>
      <c r="R783" s="3" t="s">
        <v>28</v>
      </c>
      <c r="S783" s="3" t="s">
        <v>29</v>
      </c>
      <c r="T783" s="3">
        <v>580.11</v>
      </c>
      <c r="U783" s="3">
        <v>250.14</v>
      </c>
      <c r="V783" s="3">
        <v>231</v>
      </c>
      <c r="W783" s="3">
        <v>98.97</v>
      </c>
    </row>
    <row r="784" spans="1:23" ht="72.75">
      <c r="A784" s="3" t="s">
        <v>23</v>
      </c>
      <c r="B784" s="3" t="s">
        <v>24</v>
      </c>
      <c r="C784" s="3" t="s">
        <v>35</v>
      </c>
      <c r="D784" s="3" t="s">
        <v>36</v>
      </c>
      <c r="E784" s="3" t="s">
        <v>30</v>
      </c>
      <c r="F784" s="3" t="s">
        <v>37</v>
      </c>
      <c r="G784" s="3">
        <v>2016</v>
      </c>
      <c r="H784" s="3" t="str">
        <f>CONCATENATE("64240363263")</f>
        <v>64240363263</v>
      </c>
      <c r="I784" s="3" t="s">
        <v>25</v>
      </c>
      <c r="J784" s="3" t="s">
        <v>26</v>
      </c>
      <c r="K784" s="3" t="str">
        <f t="shared" si="31"/>
        <v/>
      </c>
      <c r="L784" s="3" t="str">
        <f>CONCATENATE("11 11.2 4b")</f>
        <v>11 11.2 4b</v>
      </c>
      <c r="M784" s="3" t="str">
        <f>CONCATENATE("GMNMRA34H42F415C")</f>
        <v>GMNMRA34H42F415C</v>
      </c>
      <c r="N784" s="3" t="s">
        <v>892</v>
      </c>
      <c r="O784" s="3"/>
      <c r="P784" s="4">
        <v>42783</v>
      </c>
      <c r="Q784" s="3" t="s">
        <v>27</v>
      </c>
      <c r="R784" s="3" t="s">
        <v>28</v>
      </c>
      <c r="S784" s="3" t="s">
        <v>29</v>
      </c>
      <c r="T784" s="5">
        <v>3072.73</v>
      </c>
      <c r="U784" s="5">
        <v>1324.96</v>
      </c>
      <c r="V784" s="5">
        <v>1223.56</v>
      </c>
      <c r="W784" s="3">
        <v>524.21</v>
      </c>
    </row>
    <row r="785" spans="1:23" ht="60.75">
      <c r="A785" s="3" t="s">
        <v>23</v>
      </c>
      <c r="B785" s="3" t="s">
        <v>24</v>
      </c>
      <c r="C785" s="3" t="s">
        <v>35</v>
      </c>
      <c r="D785" s="3" t="s">
        <v>36</v>
      </c>
      <c r="E785" s="3" t="s">
        <v>33</v>
      </c>
      <c r="F785" s="3" t="s">
        <v>192</v>
      </c>
      <c r="G785" s="3">
        <v>2016</v>
      </c>
      <c r="H785" s="3" t="str">
        <f>CONCATENATE("64240305769")</f>
        <v>64240305769</v>
      </c>
      <c r="I785" s="3" t="s">
        <v>25</v>
      </c>
      <c r="J785" s="3" t="s">
        <v>26</v>
      </c>
      <c r="K785" s="3" t="str">
        <f t="shared" si="31"/>
        <v/>
      </c>
      <c r="L785" s="3" t="str">
        <f>CONCATENATE("10 10.1 4a")</f>
        <v>10 10.1 4a</v>
      </c>
      <c r="M785" s="3" t="str">
        <f>CONCATENATE("CCCNLN64S12G005V")</f>
        <v>CCCNLN64S12G005V</v>
      </c>
      <c r="N785" s="3" t="s">
        <v>578</v>
      </c>
      <c r="O785" s="3"/>
      <c r="P785" s="4">
        <v>42783</v>
      </c>
      <c r="Q785" s="3" t="s">
        <v>27</v>
      </c>
      <c r="R785" s="3" t="s">
        <v>28</v>
      </c>
      <c r="S785" s="3" t="s">
        <v>29</v>
      </c>
      <c r="T785" s="3">
        <v>160.69999999999999</v>
      </c>
      <c r="U785" s="3">
        <v>69.290000000000006</v>
      </c>
      <c r="V785" s="3">
        <v>63.99</v>
      </c>
      <c r="W785" s="3">
        <v>27.42</v>
      </c>
    </row>
    <row r="786" spans="1:23" ht="72.75">
      <c r="A786" s="3" t="s">
        <v>23</v>
      </c>
      <c r="B786" s="3" t="s">
        <v>24</v>
      </c>
      <c r="C786" s="3" t="s">
        <v>35</v>
      </c>
      <c r="D786" s="3" t="s">
        <v>48</v>
      </c>
      <c r="E786" s="3" t="s">
        <v>30</v>
      </c>
      <c r="F786" s="3" t="s">
        <v>91</v>
      </c>
      <c r="G786" s="3">
        <v>2016</v>
      </c>
      <c r="H786" s="3" t="str">
        <f>CONCATENATE("64240301917")</f>
        <v>64240301917</v>
      </c>
      <c r="I786" s="3" t="s">
        <v>25</v>
      </c>
      <c r="J786" s="3" t="s">
        <v>26</v>
      </c>
      <c r="K786" s="3" t="str">
        <f t="shared" si="31"/>
        <v/>
      </c>
      <c r="L786" s="3" t="str">
        <f>CONCATENATE("11 11.1 4b")</f>
        <v>11 11.1 4b</v>
      </c>
      <c r="M786" s="3" t="str">
        <f>CONCATENATE("CRSSRA89H64B474Q")</f>
        <v>CRSSRA89H64B474Q</v>
      </c>
      <c r="N786" s="3" t="s">
        <v>893</v>
      </c>
      <c r="O786" s="3"/>
      <c r="P786" s="4">
        <v>42783</v>
      </c>
      <c r="Q786" s="3" t="s">
        <v>27</v>
      </c>
      <c r="R786" s="3" t="s">
        <v>28</v>
      </c>
      <c r="S786" s="3" t="s">
        <v>29</v>
      </c>
      <c r="T786" s="5">
        <v>15983.56</v>
      </c>
      <c r="U786" s="5">
        <v>6892.11</v>
      </c>
      <c r="V786" s="5">
        <v>6364.65</v>
      </c>
      <c r="W786" s="5">
        <v>2726.8</v>
      </c>
    </row>
    <row r="787" spans="1:23" ht="36.75">
      <c r="A787" s="3" t="s">
        <v>23</v>
      </c>
      <c r="B787" s="3" t="s">
        <v>24</v>
      </c>
      <c r="C787" s="3" t="s">
        <v>35</v>
      </c>
      <c r="D787" s="3" t="s">
        <v>36</v>
      </c>
      <c r="E787" s="3" t="s">
        <v>33</v>
      </c>
      <c r="F787" s="3" t="s">
        <v>360</v>
      </c>
      <c r="G787" s="3">
        <v>2016</v>
      </c>
      <c r="H787" s="3" t="str">
        <f>CONCATENATE("64240431169")</f>
        <v>64240431169</v>
      </c>
      <c r="I787" s="3" t="s">
        <v>25</v>
      </c>
      <c r="J787" s="3" t="s">
        <v>26</v>
      </c>
      <c r="K787" s="3" t="str">
        <f t="shared" si="31"/>
        <v/>
      </c>
      <c r="L787" s="3" t="str">
        <f>CONCATENATE("10 10.1 4b")</f>
        <v>10 10.1 4b</v>
      </c>
      <c r="M787" s="3" t="str">
        <f>CONCATENATE("01925420448")</f>
        <v>01925420448</v>
      </c>
      <c r="N787" s="3" t="s">
        <v>894</v>
      </c>
      <c r="O787" s="3"/>
      <c r="P787" s="4">
        <v>42783</v>
      </c>
      <c r="Q787" s="3" t="s">
        <v>27</v>
      </c>
      <c r="R787" s="3" t="s">
        <v>28</v>
      </c>
      <c r="S787" s="3" t="s">
        <v>29</v>
      </c>
      <c r="T787" s="5">
        <v>6317.43</v>
      </c>
      <c r="U787" s="5">
        <v>2724.08</v>
      </c>
      <c r="V787" s="5">
        <v>2515.6</v>
      </c>
      <c r="W787" s="5">
        <v>1077.75</v>
      </c>
    </row>
    <row r="788" spans="1:23" ht="60.75">
      <c r="A788" s="3" t="s">
        <v>23</v>
      </c>
      <c r="B788" s="3" t="s">
        <v>24</v>
      </c>
      <c r="C788" s="3" t="s">
        <v>35</v>
      </c>
      <c r="D788" s="3" t="s">
        <v>48</v>
      </c>
      <c r="E788" s="3" t="s">
        <v>30</v>
      </c>
      <c r="F788" s="3" t="s">
        <v>157</v>
      </c>
      <c r="G788" s="3">
        <v>2016</v>
      </c>
      <c r="H788" s="3" t="str">
        <f>CONCATENATE("64240461182")</f>
        <v>64240461182</v>
      </c>
      <c r="I788" s="3" t="s">
        <v>25</v>
      </c>
      <c r="J788" s="3" t="s">
        <v>26</v>
      </c>
      <c r="K788" s="3" t="str">
        <f t="shared" si="31"/>
        <v/>
      </c>
      <c r="L788" s="3" t="str">
        <f>CONCATENATE("11 11.2 4b")</f>
        <v>11 11.2 4b</v>
      </c>
      <c r="M788" s="3" t="str">
        <f>CONCATENATE("MRASFN89P19E783N")</f>
        <v>MRASFN89P19E783N</v>
      </c>
      <c r="N788" s="3" t="s">
        <v>895</v>
      </c>
      <c r="O788" s="3"/>
      <c r="P788" s="4">
        <v>42783</v>
      </c>
      <c r="Q788" s="3" t="s">
        <v>27</v>
      </c>
      <c r="R788" s="3" t="s">
        <v>28</v>
      </c>
      <c r="S788" s="3" t="s">
        <v>29</v>
      </c>
      <c r="T788" s="5">
        <v>13661.98</v>
      </c>
      <c r="U788" s="5">
        <v>5891.05</v>
      </c>
      <c r="V788" s="5">
        <v>5440.2</v>
      </c>
      <c r="W788" s="5">
        <v>2330.73</v>
      </c>
    </row>
    <row r="789" spans="1:23" ht="60.75">
      <c r="A789" s="3" t="s">
        <v>23</v>
      </c>
      <c r="B789" s="3" t="s">
        <v>24</v>
      </c>
      <c r="C789" s="3" t="s">
        <v>35</v>
      </c>
      <c r="D789" s="3" t="s">
        <v>43</v>
      </c>
      <c r="E789" s="3" t="s">
        <v>33</v>
      </c>
      <c r="F789" s="3" t="s">
        <v>122</v>
      </c>
      <c r="G789" s="3">
        <v>2016</v>
      </c>
      <c r="H789" s="3" t="str">
        <f>CONCATENATE("64210561219")</f>
        <v>64210561219</v>
      </c>
      <c r="I789" s="3" t="s">
        <v>25</v>
      </c>
      <c r="J789" s="3" t="s">
        <v>26</v>
      </c>
      <c r="K789" s="3" t="str">
        <f t="shared" si="31"/>
        <v/>
      </c>
      <c r="L789" s="3" t="str">
        <f>CONCATENATE("13 13.1 4a")</f>
        <v>13 13.1 4a</v>
      </c>
      <c r="M789" s="3" t="str">
        <f>CONCATENATE("MNTFPP67L22E785N")</f>
        <v>MNTFPP67L22E785N</v>
      </c>
      <c r="N789" s="3" t="s">
        <v>896</v>
      </c>
      <c r="O789" s="3"/>
      <c r="P789" s="4">
        <v>42783</v>
      </c>
      <c r="Q789" s="3" t="s">
        <v>27</v>
      </c>
      <c r="R789" s="3" t="s">
        <v>28</v>
      </c>
      <c r="S789" s="3" t="s">
        <v>29</v>
      </c>
      <c r="T789" s="5">
        <v>1525.67</v>
      </c>
      <c r="U789" s="3">
        <v>657.87</v>
      </c>
      <c r="V789" s="3">
        <v>607.52</v>
      </c>
      <c r="W789" s="3">
        <v>260.27999999999997</v>
      </c>
    </row>
    <row r="790" spans="1:23" ht="60.75">
      <c r="A790" s="3" t="s">
        <v>23</v>
      </c>
      <c r="B790" s="3" t="s">
        <v>24</v>
      </c>
      <c r="C790" s="3" t="s">
        <v>35</v>
      </c>
      <c r="D790" s="3" t="s">
        <v>43</v>
      </c>
      <c r="E790" s="3" t="s">
        <v>32</v>
      </c>
      <c r="F790" s="3" t="s">
        <v>575</v>
      </c>
      <c r="G790" s="3">
        <v>2016</v>
      </c>
      <c r="H790" s="3" t="str">
        <f>CONCATENATE("64240273710")</f>
        <v>64240273710</v>
      </c>
      <c r="I790" s="3" t="s">
        <v>25</v>
      </c>
      <c r="J790" s="3" t="s">
        <v>26</v>
      </c>
      <c r="K790" s="3" t="str">
        <f t="shared" si="31"/>
        <v/>
      </c>
      <c r="L790" s="3" t="str">
        <f>CONCATENATE("11 11.1 4b")</f>
        <v>11 11.1 4b</v>
      </c>
      <c r="M790" s="3" t="str">
        <f>CONCATENATE("MRNMSM78B13I608K")</f>
        <v>MRNMSM78B13I608K</v>
      </c>
      <c r="N790" s="3" t="s">
        <v>897</v>
      </c>
      <c r="O790" s="3"/>
      <c r="P790" s="4">
        <v>42783</v>
      </c>
      <c r="Q790" s="3" t="s">
        <v>27</v>
      </c>
      <c r="R790" s="3" t="s">
        <v>28</v>
      </c>
      <c r="S790" s="3" t="s">
        <v>29</v>
      </c>
      <c r="T790" s="5">
        <v>2943.52</v>
      </c>
      <c r="U790" s="5">
        <v>1269.25</v>
      </c>
      <c r="V790" s="5">
        <v>1172.1099999999999</v>
      </c>
      <c r="W790" s="3">
        <v>502.16</v>
      </c>
    </row>
    <row r="791" spans="1:23" ht="72.75">
      <c r="A791" s="3" t="s">
        <v>23</v>
      </c>
      <c r="B791" s="3" t="s">
        <v>24</v>
      </c>
      <c r="C791" s="3" t="s">
        <v>35</v>
      </c>
      <c r="D791" s="3" t="s">
        <v>43</v>
      </c>
      <c r="E791" s="3" t="s">
        <v>30</v>
      </c>
      <c r="F791" s="3" t="s">
        <v>113</v>
      </c>
      <c r="G791" s="3">
        <v>2016</v>
      </c>
      <c r="H791" s="3" t="str">
        <f>CONCATENATE("64210585192")</f>
        <v>64210585192</v>
      </c>
      <c r="I791" s="3" t="s">
        <v>25</v>
      </c>
      <c r="J791" s="3" t="s">
        <v>26</v>
      </c>
      <c r="K791" s="3" t="str">
        <f t="shared" si="31"/>
        <v/>
      </c>
      <c r="L791" s="3" t="str">
        <f>CONCATENATE("13 13.1 4a")</f>
        <v>13 13.1 4a</v>
      </c>
      <c r="M791" s="3" t="str">
        <f>CONCATENATE("DLRRRT51B06G479M")</f>
        <v>DLRRRT51B06G479M</v>
      </c>
      <c r="N791" s="3" t="s">
        <v>898</v>
      </c>
      <c r="O791" s="3"/>
      <c r="P791" s="4">
        <v>42783</v>
      </c>
      <c r="Q791" s="3" t="s">
        <v>27</v>
      </c>
      <c r="R791" s="3" t="s">
        <v>28</v>
      </c>
      <c r="S791" s="3" t="s">
        <v>29</v>
      </c>
      <c r="T791" s="3">
        <v>819.22</v>
      </c>
      <c r="U791" s="3">
        <v>353.25</v>
      </c>
      <c r="V791" s="3">
        <v>326.20999999999998</v>
      </c>
      <c r="W791" s="3">
        <v>139.76</v>
      </c>
    </row>
    <row r="792" spans="1:23" ht="72.75">
      <c r="A792" s="3" t="s">
        <v>23</v>
      </c>
      <c r="B792" s="3" t="s">
        <v>24</v>
      </c>
      <c r="C792" s="3" t="s">
        <v>35</v>
      </c>
      <c r="D792" s="3" t="s">
        <v>48</v>
      </c>
      <c r="E792" s="3" t="s">
        <v>34</v>
      </c>
      <c r="F792" s="3" t="s">
        <v>141</v>
      </c>
      <c r="G792" s="3">
        <v>2016</v>
      </c>
      <c r="H792" s="3" t="str">
        <f>CONCATENATE("64240748414")</f>
        <v>64240748414</v>
      </c>
      <c r="I792" s="3" t="s">
        <v>25</v>
      </c>
      <c r="J792" s="3" t="s">
        <v>26</v>
      </c>
      <c r="K792" s="3" t="str">
        <f t="shared" si="31"/>
        <v/>
      </c>
      <c r="L792" s="3" t="str">
        <f>CONCATENATE("11 11.2 4b")</f>
        <v>11 11.2 4b</v>
      </c>
      <c r="M792" s="3" t="str">
        <f>CONCATENATE("PZZMRA43R49B474M")</f>
        <v>PZZMRA43R49B474M</v>
      </c>
      <c r="N792" s="3" t="s">
        <v>899</v>
      </c>
      <c r="O792" s="3"/>
      <c r="P792" s="4">
        <v>42783</v>
      </c>
      <c r="Q792" s="3" t="s">
        <v>27</v>
      </c>
      <c r="R792" s="3" t="s">
        <v>28</v>
      </c>
      <c r="S792" s="3" t="s">
        <v>29</v>
      </c>
      <c r="T792" s="5">
        <v>1000.58</v>
      </c>
      <c r="U792" s="3">
        <v>431.45</v>
      </c>
      <c r="V792" s="3">
        <v>398.43</v>
      </c>
      <c r="W792" s="3">
        <v>170.7</v>
      </c>
    </row>
    <row r="793" spans="1:23" ht="60.75">
      <c r="A793" s="3" t="s">
        <v>23</v>
      </c>
      <c r="B793" s="3" t="s">
        <v>24</v>
      </c>
      <c r="C793" s="3" t="s">
        <v>35</v>
      </c>
      <c r="D793" s="3" t="s">
        <v>43</v>
      </c>
      <c r="E793" s="3" t="s">
        <v>32</v>
      </c>
      <c r="F793" s="3" t="s">
        <v>335</v>
      </c>
      <c r="G793" s="3">
        <v>2016</v>
      </c>
      <c r="H793" s="3" t="str">
        <f>CONCATENATE("64240688743")</f>
        <v>64240688743</v>
      </c>
      <c r="I793" s="3" t="s">
        <v>31</v>
      </c>
      <c r="J793" s="3" t="s">
        <v>26</v>
      </c>
      <c r="K793" s="3" t="str">
        <f t="shared" si="31"/>
        <v/>
      </c>
      <c r="L793" s="3" t="str">
        <f>CONCATENATE("11 11.2 4b")</f>
        <v>11 11.2 4b</v>
      </c>
      <c r="M793" s="3" t="str">
        <f>CONCATENATE("CCCGZN72C20E785T")</f>
        <v>CCCGZN72C20E785T</v>
      </c>
      <c r="N793" s="3" t="s">
        <v>900</v>
      </c>
      <c r="O793" s="3"/>
      <c r="P793" s="4">
        <v>42783</v>
      </c>
      <c r="Q793" s="3" t="s">
        <v>27</v>
      </c>
      <c r="R793" s="3" t="s">
        <v>28</v>
      </c>
      <c r="S793" s="3" t="s">
        <v>29</v>
      </c>
      <c r="T793" s="5">
        <v>4168.84</v>
      </c>
      <c r="U793" s="5">
        <v>1797.6</v>
      </c>
      <c r="V793" s="5">
        <v>1660.03</v>
      </c>
      <c r="W793" s="3">
        <v>711.21</v>
      </c>
    </row>
    <row r="794" spans="1:23" ht="72.75">
      <c r="A794" s="3" t="s">
        <v>23</v>
      </c>
      <c r="B794" s="3" t="s">
        <v>24</v>
      </c>
      <c r="C794" s="3" t="s">
        <v>35</v>
      </c>
      <c r="D794" s="3" t="s">
        <v>43</v>
      </c>
      <c r="E794" s="3" t="s">
        <v>30</v>
      </c>
      <c r="F794" s="3" t="s">
        <v>131</v>
      </c>
      <c r="G794" s="3">
        <v>2016</v>
      </c>
      <c r="H794" s="3" t="str">
        <f>CONCATENATE("64240924809")</f>
        <v>64240924809</v>
      </c>
      <c r="I794" s="3" t="s">
        <v>25</v>
      </c>
      <c r="J794" s="3" t="s">
        <v>26</v>
      </c>
      <c r="K794" s="3" t="str">
        <f t="shared" si="31"/>
        <v/>
      </c>
      <c r="L794" s="3" t="str">
        <f>CONCATENATE("11 11.2 4b")</f>
        <v>11 11.2 4b</v>
      </c>
      <c r="M794" s="3" t="str">
        <f>CONCATENATE("LNNNDR91A23D749V")</f>
        <v>LNNNDR91A23D749V</v>
      </c>
      <c r="N794" s="3" t="s">
        <v>901</v>
      </c>
      <c r="O794" s="3"/>
      <c r="P794" s="4">
        <v>42783</v>
      </c>
      <c r="Q794" s="3" t="s">
        <v>27</v>
      </c>
      <c r="R794" s="3" t="s">
        <v>28</v>
      </c>
      <c r="S794" s="3" t="s">
        <v>29</v>
      </c>
      <c r="T794" s="5">
        <v>4504.78</v>
      </c>
      <c r="U794" s="5">
        <v>1942.46</v>
      </c>
      <c r="V794" s="5">
        <v>1793.8</v>
      </c>
      <c r="W794" s="3">
        <v>768.52</v>
      </c>
    </row>
    <row r="795" spans="1:23" ht="60.75">
      <c r="A795" s="3" t="s">
        <v>23</v>
      </c>
      <c r="B795" s="3" t="s">
        <v>24</v>
      </c>
      <c r="C795" s="3" t="s">
        <v>35</v>
      </c>
      <c r="D795" s="3" t="s">
        <v>36</v>
      </c>
      <c r="E795" s="3" t="s">
        <v>30</v>
      </c>
      <c r="F795" s="3" t="s">
        <v>257</v>
      </c>
      <c r="G795" s="3">
        <v>2016</v>
      </c>
      <c r="H795" s="3" t="str">
        <f>CONCATENATE("64240434262")</f>
        <v>64240434262</v>
      </c>
      <c r="I795" s="3" t="s">
        <v>25</v>
      </c>
      <c r="J795" s="3" t="s">
        <v>26</v>
      </c>
      <c r="K795" s="3" t="str">
        <f t="shared" si="31"/>
        <v/>
      </c>
      <c r="L795" s="3" t="str">
        <f>CONCATENATE("11 11.2 4b")</f>
        <v>11 11.2 4b</v>
      </c>
      <c r="M795" s="3" t="str">
        <f>CONCATENATE("VCCMTR22H58C070P")</f>
        <v>VCCMTR22H58C070P</v>
      </c>
      <c r="N795" s="3" t="s">
        <v>902</v>
      </c>
      <c r="O795" s="3"/>
      <c r="P795" s="4">
        <v>42783</v>
      </c>
      <c r="Q795" s="3" t="s">
        <v>27</v>
      </c>
      <c r="R795" s="3" t="s">
        <v>28</v>
      </c>
      <c r="S795" s="3" t="s">
        <v>29</v>
      </c>
      <c r="T795" s="5">
        <v>10477.68</v>
      </c>
      <c r="U795" s="5">
        <v>4517.9799999999996</v>
      </c>
      <c r="V795" s="5">
        <v>4172.21</v>
      </c>
      <c r="W795" s="5">
        <v>1787.49</v>
      </c>
    </row>
    <row r="796" spans="1:23" ht="36.75">
      <c r="A796" s="3" t="s">
        <v>23</v>
      </c>
      <c r="B796" s="3" t="s">
        <v>24</v>
      </c>
      <c r="C796" s="3" t="s">
        <v>35</v>
      </c>
      <c r="D796" s="3" t="s">
        <v>43</v>
      </c>
      <c r="E796" s="3" t="s">
        <v>32</v>
      </c>
      <c r="F796" s="3" t="s">
        <v>335</v>
      </c>
      <c r="G796" s="3">
        <v>2016</v>
      </c>
      <c r="H796" s="3" t="str">
        <f>CONCATENATE("64240665410")</f>
        <v>64240665410</v>
      </c>
      <c r="I796" s="3" t="s">
        <v>25</v>
      </c>
      <c r="J796" s="3" t="s">
        <v>26</v>
      </c>
      <c r="K796" s="3" t="str">
        <f t="shared" si="31"/>
        <v/>
      </c>
      <c r="L796" s="3" t="str">
        <f>CONCATENATE("11 11.1 4b")</f>
        <v>11 11.1 4b</v>
      </c>
      <c r="M796" s="3" t="str">
        <f>CONCATENATE("02500180415")</f>
        <v>02500180415</v>
      </c>
      <c r="N796" s="3" t="s">
        <v>903</v>
      </c>
      <c r="O796" s="3"/>
      <c r="P796" s="4">
        <v>42783</v>
      </c>
      <c r="Q796" s="3" t="s">
        <v>27</v>
      </c>
      <c r="R796" s="3" t="s">
        <v>28</v>
      </c>
      <c r="S796" s="3" t="s">
        <v>29</v>
      </c>
      <c r="T796" s="5">
        <v>3675.28</v>
      </c>
      <c r="U796" s="5">
        <v>1584.78</v>
      </c>
      <c r="V796" s="5">
        <v>1463.5</v>
      </c>
      <c r="W796" s="3">
        <v>627</v>
      </c>
    </row>
    <row r="797" spans="1:23" ht="60.75">
      <c r="A797" s="3" t="s">
        <v>23</v>
      </c>
      <c r="B797" s="3" t="s">
        <v>24</v>
      </c>
      <c r="C797" s="3" t="s">
        <v>35</v>
      </c>
      <c r="D797" s="3" t="s">
        <v>36</v>
      </c>
      <c r="E797" s="3" t="s">
        <v>30</v>
      </c>
      <c r="F797" s="3" t="s">
        <v>257</v>
      </c>
      <c r="G797" s="3">
        <v>2016</v>
      </c>
      <c r="H797" s="3" t="str">
        <f>CONCATENATE("64240725966")</f>
        <v>64240725966</v>
      </c>
      <c r="I797" s="3" t="s">
        <v>25</v>
      </c>
      <c r="J797" s="3" t="s">
        <v>26</v>
      </c>
      <c r="K797" s="3" t="str">
        <f t="shared" si="31"/>
        <v/>
      </c>
      <c r="L797" s="3" t="str">
        <f>CONCATENATE("11 11.2 4b")</f>
        <v>11 11.2 4b</v>
      </c>
      <c r="M797" s="3" t="str">
        <f>CONCATENATE("BRDRSN69E12D542A")</f>
        <v>BRDRSN69E12D542A</v>
      </c>
      <c r="N797" s="3" t="s">
        <v>372</v>
      </c>
      <c r="O797" s="3"/>
      <c r="P797" s="4">
        <v>42783</v>
      </c>
      <c r="Q797" s="3" t="s">
        <v>27</v>
      </c>
      <c r="R797" s="3" t="s">
        <v>28</v>
      </c>
      <c r="S797" s="3" t="s">
        <v>29</v>
      </c>
      <c r="T797" s="5">
        <v>1481.72</v>
      </c>
      <c r="U797" s="3">
        <v>638.91999999999996</v>
      </c>
      <c r="V797" s="3">
        <v>590.02</v>
      </c>
      <c r="W797" s="3">
        <v>252.78</v>
      </c>
    </row>
    <row r="798" spans="1:23" ht="60.75">
      <c r="A798" s="3" t="s">
        <v>23</v>
      </c>
      <c r="B798" s="3" t="s">
        <v>24</v>
      </c>
      <c r="C798" s="3" t="s">
        <v>35</v>
      </c>
      <c r="D798" s="3" t="s">
        <v>43</v>
      </c>
      <c r="E798" s="3" t="s">
        <v>42</v>
      </c>
      <c r="F798" s="3" t="s">
        <v>42</v>
      </c>
      <c r="G798" s="3">
        <v>2016</v>
      </c>
      <c r="H798" s="3" t="str">
        <f>CONCATENATE("64240561791")</f>
        <v>64240561791</v>
      </c>
      <c r="I798" s="3" t="s">
        <v>25</v>
      </c>
      <c r="J798" s="3" t="s">
        <v>26</v>
      </c>
      <c r="K798" s="3" t="str">
        <f t="shared" si="31"/>
        <v/>
      </c>
      <c r="L798" s="3" t="str">
        <f>CONCATENATE("11 11.2 4b")</f>
        <v>11 11.2 4b</v>
      </c>
      <c r="M798" s="3" t="str">
        <f>CONCATENATE("NDRSMN77L67L498X")</f>
        <v>NDRSMN77L67L498X</v>
      </c>
      <c r="N798" s="3" t="s">
        <v>904</v>
      </c>
      <c r="O798" s="3"/>
      <c r="P798" s="4">
        <v>42783</v>
      </c>
      <c r="Q798" s="3" t="s">
        <v>27</v>
      </c>
      <c r="R798" s="3" t="s">
        <v>28</v>
      </c>
      <c r="S798" s="3" t="s">
        <v>29</v>
      </c>
      <c r="T798" s="5">
        <v>7446.5</v>
      </c>
      <c r="U798" s="5">
        <v>3210.93</v>
      </c>
      <c r="V798" s="5">
        <v>2965.2</v>
      </c>
      <c r="W798" s="5">
        <v>1270.3699999999999</v>
      </c>
    </row>
    <row r="799" spans="1:23" ht="60.75">
      <c r="A799" s="3" t="s">
        <v>23</v>
      </c>
      <c r="B799" s="3" t="s">
        <v>24</v>
      </c>
      <c r="C799" s="3" t="s">
        <v>35</v>
      </c>
      <c r="D799" s="3" t="s">
        <v>48</v>
      </c>
      <c r="E799" s="3" t="s">
        <v>30</v>
      </c>
      <c r="F799" s="3" t="s">
        <v>91</v>
      </c>
      <c r="G799" s="3">
        <v>2016</v>
      </c>
      <c r="H799" s="3" t="str">
        <f>CONCATENATE("64240319034")</f>
        <v>64240319034</v>
      </c>
      <c r="I799" s="3" t="s">
        <v>25</v>
      </c>
      <c r="J799" s="3" t="s">
        <v>26</v>
      </c>
      <c r="K799" s="3" t="str">
        <f t="shared" si="31"/>
        <v/>
      </c>
      <c r="L799" s="3" t="str">
        <f>CONCATENATE("11 11.2 4b")</f>
        <v>11 11.2 4b</v>
      </c>
      <c r="M799" s="3" t="str">
        <f>CONCATENATE("SBRLBR49L31B474W")</f>
        <v>SBRLBR49L31B474W</v>
      </c>
      <c r="N799" s="3" t="s">
        <v>365</v>
      </c>
      <c r="O799" s="3"/>
      <c r="P799" s="4">
        <v>42783</v>
      </c>
      <c r="Q799" s="3" t="s">
        <v>27</v>
      </c>
      <c r="R799" s="3" t="s">
        <v>28</v>
      </c>
      <c r="S799" s="3" t="s">
        <v>29</v>
      </c>
      <c r="T799" s="5">
        <v>2834.7</v>
      </c>
      <c r="U799" s="5">
        <v>1222.32</v>
      </c>
      <c r="V799" s="5">
        <v>1128.78</v>
      </c>
      <c r="W799" s="3">
        <v>483.6</v>
      </c>
    </row>
    <row r="800" spans="1:23" ht="36.75">
      <c r="A800" s="3" t="s">
        <v>23</v>
      </c>
      <c r="B800" s="3" t="s">
        <v>24</v>
      </c>
      <c r="C800" s="3" t="s">
        <v>35</v>
      </c>
      <c r="D800" s="3" t="s">
        <v>39</v>
      </c>
      <c r="E800" s="3" t="s">
        <v>33</v>
      </c>
      <c r="F800" s="3" t="s">
        <v>584</v>
      </c>
      <c r="G800" s="3">
        <v>2016</v>
      </c>
      <c r="H800" s="3" t="str">
        <f>CONCATENATE("64210914954")</f>
        <v>64210914954</v>
      </c>
      <c r="I800" s="3" t="s">
        <v>25</v>
      </c>
      <c r="J800" s="3" t="s">
        <v>26</v>
      </c>
      <c r="K800" s="3" t="str">
        <f t="shared" si="31"/>
        <v/>
      </c>
      <c r="L800" s="3" t="str">
        <f>CONCATENATE("13 13.1 4a")</f>
        <v>13 13.1 4a</v>
      </c>
      <c r="M800" s="3" t="str">
        <f>CONCATENATE("00501990428")</f>
        <v>00501990428</v>
      </c>
      <c r="N800" s="3" t="s">
        <v>905</v>
      </c>
      <c r="O800" s="3"/>
      <c r="P800" s="4">
        <v>42783</v>
      </c>
      <c r="Q800" s="3" t="s">
        <v>27</v>
      </c>
      <c r="R800" s="3" t="s">
        <v>28</v>
      </c>
      <c r="S800" s="3" t="s">
        <v>29</v>
      </c>
      <c r="T800" s="5">
        <v>5346</v>
      </c>
      <c r="U800" s="5">
        <v>2305.1999999999998</v>
      </c>
      <c r="V800" s="5">
        <v>2128.7800000000002</v>
      </c>
      <c r="W800" s="3">
        <v>912.02</v>
      </c>
    </row>
    <row r="801" spans="1:23" ht="60.75">
      <c r="A801" s="3" t="s">
        <v>23</v>
      </c>
      <c r="B801" s="3" t="s">
        <v>24</v>
      </c>
      <c r="C801" s="3" t="s">
        <v>35</v>
      </c>
      <c r="D801" s="3" t="s">
        <v>48</v>
      </c>
      <c r="E801" s="3" t="s">
        <v>30</v>
      </c>
      <c r="F801" s="3" t="s">
        <v>55</v>
      </c>
      <c r="G801" s="3">
        <v>2016</v>
      </c>
      <c r="H801" s="3" t="str">
        <f>CONCATENATE("64240397501")</f>
        <v>64240397501</v>
      </c>
      <c r="I801" s="3" t="s">
        <v>25</v>
      </c>
      <c r="J801" s="3" t="s">
        <v>26</v>
      </c>
      <c r="K801" s="3" t="str">
        <f t="shared" si="31"/>
        <v/>
      </c>
      <c r="L801" s="3" t="str">
        <f>CONCATENATE("11 11.2 4b")</f>
        <v>11 11.2 4b</v>
      </c>
      <c r="M801" s="3" t="str">
        <f>CONCATENATE("BNGMRT76H24E783Y")</f>
        <v>BNGMRT76H24E783Y</v>
      </c>
      <c r="N801" s="3" t="s">
        <v>906</v>
      </c>
      <c r="O801" s="3"/>
      <c r="P801" s="4">
        <v>42783</v>
      </c>
      <c r="Q801" s="3" t="s">
        <v>27</v>
      </c>
      <c r="R801" s="3" t="s">
        <v>28</v>
      </c>
      <c r="S801" s="3" t="s">
        <v>29</v>
      </c>
      <c r="T801" s="5">
        <v>1598.46</v>
      </c>
      <c r="U801" s="3">
        <v>689.26</v>
      </c>
      <c r="V801" s="3">
        <v>636.51</v>
      </c>
      <c r="W801" s="3">
        <v>272.69</v>
      </c>
    </row>
    <row r="802" spans="1:23" ht="60.75">
      <c r="A802" s="3" t="s">
        <v>23</v>
      </c>
      <c r="B802" s="3" t="s">
        <v>24</v>
      </c>
      <c r="C802" s="3" t="s">
        <v>35</v>
      </c>
      <c r="D802" s="3" t="s">
        <v>36</v>
      </c>
      <c r="E802" s="3" t="s">
        <v>42</v>
      </c>
      <c r="F802" s="3" t="s">
        <v>42</v>
      </c>
      <c r="G802" s="3">
        <v>2016</v>
      </c>
      <c r="H802" s="3" t="str">
        <f>CONCATENATE("64240089090")</f>
        <v>64240089090</v>
      </c>
      <c r="I802" s="3" t="s">
        <v>25</v>
      </c>
      <c r="J802" s="3" t="s">
        <v>26</v>
      </c>
      <c r="K802" s="3" t="str">
        <f t="shared" si="31"/>
        <v/>
      </c>
      <c r="L802" s="3" t="str">
        <f>CONCATENATE("11 11.2 4b")</f>
        <v>11 11.2 4b</v>
      </c>
      <c r="M802" s="3" t="str">
        <f>CONCATENATE("MLVLVI34C13G005I")</f>
        <v>MLVLVI34C13G005I</v>
      </c>
      <c r="N802" s="3" t="s">
        <v>907</v>
      </c>
      <c r="O802" s="3"/>
      <c r="P802" s="4">
        <v>42783</v>
      </c>
      <c r="Q802" s="3" t="s">
        <v>27</v>
      </c>
      <c r="R802" s="3" t="s">
        <v>28</v>
      </c>
      <c r="S802" s="3" t="s">
        <v>29</v>
      </c>
      <c r="T802" s="5">
        <v>1370.56</v>
      </c>
      <c r="U802" s="3">
        <v>590.99</v>
      </c>
      <c r="V802" s="3">
        <v>545.76</v>
      </c>
      <c r="W802" s="3">
        <v>233.81</v>
      </c>
    </row>
    <row r="803" spans="1:23" ht="72.75">
      <c r="A803" s="3" t="s">
        <v>23</v>
      </c>
      <c r="B803" s="3" t="s">
        <v>24</v>
      </c>
      <c r="C803" s="3" t="s">
        <v>35</v>
      </c>
      <c r="D803" s="3" t="s">
        <v>43</v>
      </c>
      <c r="E803" s="3" t="s">
        <v>30</v>
      </c>
      <c r="F803" s="3" t="s">
        <v>109</v>
      </c>
      <c r="G803" s="3">
        <v>2016</v>
      </c>
      <c r="H803" s="3" t="str">
        <f>CONCATENATE("64240763785")</f>
        <v>64240763785</v>
      </c>
      <c r="I803" s="3" t="s">
        <v>25</v>
      </c>
      <c r="J803" s="3" t="s">
        <v>26</v>
      </c>
      <c r="K803" s="3" t="str">
        <f t="shared" si="31"/>
        <v/>
      </c>
      <c r="L803" s="3" t="str">
        <f>CONCATENATE("11 11.2 4b")</f>
        <v>11 11.2 4b</v>
      </c>
      <c r="M803" s="3" t="str">
        <f>CONCATENATE("SRTMNL64B49G453B")</f>
        <v>SRTMNL64B49G453B</v>
      </c>
      <c r="N803" s="3" t="s">
        <v>908</v>
      </c>
      <c r="O803" s="3"/>
      <c r="P803" s="4">
        <v>42783</v>
      </c>
      <c r="Q803" s="3" t="s">
        <v>27</v>
      </c>
      <c r="R803" s="3" t="s">
        <v>28</v>
      </c>
      <c r="S803" s="3" t="s">
        <v>29</v>
      </c>
      <c r="T803" s="5">
        <v>1114.7</v>
      </c>
      <c r="U803" s="3">
        <v>480.66</v>
      </c>
      <c r="V803" s="3">
        <v>443.87</v>
      </c>
      <c r="W803" s="3">
        <v>190.17</v>
      </c>
    </row>
    <row r="804" spans="1:23" ht="60.75">
      <c r="A804" s="3" t="s">
        <v>23</v>
      </c>
      <c r="B804" s="3" t="s">
        <v>24</v>
      </c>
      <c r="C804" s="3" t="s">
        <v>35</v>
      </c>
      <c r="D804" s="3" t="s">
        <v>43</v>
      </c>
      <c r="E804" s="3" t="s">
        <v>30</v>
      </c>
      <c r="F804" s="3" t="s">
        <v>199</v>
      </c>
      <c r="G804" s="3">
        <v>2016</v>
      </c>
      <c r="H804" s="3" t="str">
        <f>CONCATENATE("64240820858")</f>
        <v>64240820858</v>
      </c>
      <c r="I804" s="3" t="s">
        <v>25</v>
      </c>
      <c r="J804" s="3" t="s">
        <v>26</v>
      </c>
      <c r="K804" s="3" t="str">
        <f t="shared" si="31"/>
        <v/>
      </c>
      <c r="L804" s="3" t="str">
        <f>CONCATENATE("10 10.1 4b")</f>
        <v>10 10.1 4b</v>
      </c>
      <c r="M804" s="3" t="str">
        <f>CONCATENATE("GLNMTT93T10C357G")</f>
        <v>GLNMTT93T10C357G</v>
      </c>
      <c r="N804" s="3" t="s">
        <v>909</v>
      </c>
      <c r="O804" s="3"/>
      <c r="P804" s="4">
        <v>42783</v>
      </c>
      <c r="Q804" s="3" t="s">
        <v>27</v>
      </c>
      <c r="R804" s="3" t="s">
        <v>28</v>
      </c>
      <c r="S804" s="3" t="s">
        <v>29</v>
      </c>
      <c r="T804" s="5">
        <v>1877.05</v>
      </c>
      <c r="U804" s="3">
        <v>809.38</v>
      </c>
      <c r="V804" s="3">
        <v>747.44</v>
      </c>
      <c r="W804" s="3">
        <v>320.23</v>
      </c>
    </row>
    <row r="805" spans="1:23" ht="72.75">
      <c r="A805" s="3" t="s">
        <v>23</v>
      </c>
      <c r="B805" s="3" t="s">
        <v>24</v>
      </c>
      <c r="C805" s="3" t="s">
        <v>35</v>
      </c>
      <c r="D805" s="3" t="s">
        <v>36</v>
      </c>
      <c r="E805" s="3" t="s">
        <v>59</v>
      </c>
      <c r="F805" s="3" t="s">
        <v>910</v>
      </c>
      <c r="G805" s="3">
        <v>2016</v>
      </c>
      <c r="H805" s="3" t="str">
        <f>CONCATENATE("64240499091")</f>
        <v>64240499091</v>
      </c>
      <c r="I805" s="3" t="s">
        <v>31</v>
      </c>
      <c r="J805" s="3" t="s">
        <v>26</v>
      </c>
      <c r="K805" s="3" t="str">
        <f t="shared" si="31"/>
        <v/>
      </c>
      <c r="L805" s="3" t="str">
        <f>CONCATENATE("11 11.1 4b")</f>
        <v>11 11.1 4b</v>
      </c>
      <c r="M805" s="3" t="str">
        <f>CONCATENATE("VTLRST70H56G516O")</f>
        <v>VTLRST70H56G516O</v>
      </c>
      <c r="N805" s="3" t="s">
        <v>911</v>
      </c>
      <c r="O805" s="3"/>
      <c r="P805" s="4">
        <v>42783</v>
      </c>
      <c r="Q805" s="3" t="s">
        <v>27</v>
      </c>
      <c r="R805" s="3" t="s">
        <v>28</v>
      </c>
      <c r="S805" s="3" t="s">
        <v>29</v>
      </c>
      <c r="T805" s="5">
        <v>1380.37</v>
      </c>
      <c r="U805" s="3">
        <v>595.22</v>
      </c>
      <c r="V805" s="3">
        <v>549.66</v>
      </c>
      <c r="W805" s="3">
        <v>235.49</v>
      </c>
    </row>
    <row r="806" spans="1:23" ht="36.75">
      <c r="A806" s="3" t="s">
        <v>23</v>
      </c>
      <c r="B806" s="3" t="s">
        <v>24</v>
      </c>
      <c r="C806" s="3" t="s">
        <v>35</v>
      </c>
      <c r="D806" s="3" t="s">
        <v>43</v>
      </c>
      <c r="E806" s="3" t="s">
        <v>49</v>
      </c>
      <c r="F806" s="3" t="s">
        <v>139</v>
      </c>
      <c r="G806" s="3">
        <v>2016</v>
      </c>
      <c r="H806" s="3" t="str">
        <f>CONCATENATE("64240921268")</f>
        <v>64240921268</v>
      </c>
      <c r="I806" s="3" t="s">
        <v>25</v>
      </c>
      <c r="J806" s="3" t="s">
        <v>26</v>
      </c>
      <c r="K806" s="3" t="str">
        <f t="shared" si="31"/>
        <v/>
      </c>
      <c r="L806" s="3" t="str">
        <f>CONCATENATE("11 11.2 4b")</f>
        <v>11 11.2 4b</v>
      </c>
      <c r="M806" s="3" t="str">
        <f>CONCATENATE("02402330415")</f>
        <v>02402330415</v>
      </c>
      <c r="N806" s="3" t="s">
        <v>912</v>
      </c>
      <c r="O806" s="3"/>
      <c r="P806" s="4">
        <v>42783</v>
      </c>
      <c r="Q806" s="3" t="s">
        <v>27</v>
      </c>
      <c r="R806" s="3" t="s">
        <v>28</v>
      </c>
      <c r="S806" s="3" t="s">
        <v>29</v>
      </c>
      <c r="T806" s="5">
        <v>5824.66</v>
      </c>
      <c r="U806" s="5">
        <v>2511.59</v>
      </c>
      <c r="V806" s="5">
        <v>2319.38</v>
      </c>
      <c r="W806" s="3">
        <v>993.69</v>
      </c>
    </row>
    <row r="807" spans="1:23" ht="60.75">
      <c r="A807" s="3" t="s">
        <v>23</v>
      </c>
      <c r="B807" s="3" t="s">
        <v>24</v>
      </c>
      <c r="C807" s="3" t="s">
        <v>35</v>
      </c>
      <c r="D807" s="3" t="s">
        <v>36</v>
      </c>
      <c r="E807" s="3" t="s">
        <v>30</v>
      </c>
      <c r="F807" s="3" t="s">
        <v>257</v>
      </c>
      <c r="G807" s="3">
        <v>2016</v>
      </c>
      <c r="H807" s="3" t="str">
        <f>CONCATENATE("64240469227")</f>
        <v>64240469227</v>
      </c>
      <c r="I807" s="3" t="s">
        <v>25</v>
      </c>
      <c r="J807" s="3" t="s">
        <v>26</v>
      </c>
      <c r="K807" s="3" t="str">
        <f t="shared" si="31"/>
        <v/>
      </c>
      <c r="L807" s="3" t="str">
        <f>CONCATENATE("11 11.2 4b")</f>
        <v>11 11.2 4b</v>
      </c>
      <c r="M807" s="3" t="str">
        <f>CONCATENATE("CCCLGU36S17D760Y")</f>
        <v>CCCLGU36S17D760Y</v>
      </c>
      <c r="N807" s="3" t="s">
        <v>913</v>
      </c>
      <c r="O807" s="3"/>
      <c r="P807" s="4">
        <v>42783</v>
      </c>
      <c r="Q807" s="3" t="s">
        <v>27</v>
      </c>
      <c r="R807" s="3" t="s">
        <v>28</v>
      </c>
      <c r="S807" s="3" t="s">
        <v>29</v>
      </c>
      <c r="T807" s="5">
        <v>1101.2</v>
      </c>
      <c r="U807" s="3">
        <v>474.84</v>
      </c>
      <c r="V807" s="3">
        <v>438.5</v>
      </c>
      <c r="W807" s="3">
        <v>187.86</v>
      </c>
    </row>
    <row r="808" spans="1:23" ht="60.75">
      <c r="A808" s="3" t="s">
        <v>23</v>
      </c>
      <c r="B808" s="3" t="s">
        <v>24</v>
      </c>
      <c r="C808" s="3" t="s">
        <v>35</v>
      </c>
      <c r="D808" s="3" t="s">
        <v>36</v>
      </c>
      <c r="E808" s="3" t="s">
        <v>59</v>
      </c>
      <c r="F808" s="3" t="s">
        <v>62</v>
      </c>
      <c r="G808" s="3">
        <v>2016</v>
      </c>
      <c r="H808" s="3" t="str">
        <f>CONCATENATE("64240261863")</f>
        <v>64240261863</v>
      </c>
      <c r="I808" s="3" t="s">
        <v>25</v>
      </c>
      <c r="J808" s="3" t="s">
        <v>26</v>
      </c>
      <c r="K808" s="3" t="str">
        <f t="shared" si="31"/>
        <v/>
      </c>
      <c r="L808" s="3" t="str">
        <f>CONCATENATE("11 11.2 4b")</f>
        <v>11 11.2 4b</v>
      </c>
      <c r="M808" s="3" t="str">
        <f>CONCATENATE("NNIFNC74A22H501Y")</f>
        <v>NNIFNC74A22H501Y</v>
      </c>
      <c r="N808" s="3" t="s">
        <v>914</v>
      </c>
      <c r="O808" s="3"/>
      <c r="P808" s="4">
        <v>42783</v>
      </c>
      <c r="Q808" s="3" t="s">
        <v>27</v>
      </c>
      <c r="R808" s="3" t="s">
        <v>28</v>
      </c>
      <c r="S808" s="3" t="s">
        <v>29</v>
      </c>
      <c r="T808" s="5">
        <v>23153.84</v>
      </c>
      <c r="U808" s="5">
        <v>9983.94</v>
      </c>
      <c r="V808" s="5">
        <v>9219.86</v>
      </c>
      <c r="W808" s="5">
        <v>3950.04</v>
      </c>
    </row>
    <row r="809" spans="1:23" ht="60.75">
      <c r="A809" s="3" t="s">
        <v>23</v>
      </c>
      <c r="B809" s="3" t="s">
        <v>24</v>
      </c>
      <c r="C809" s="3" t="s">
        <v>35</v>
      </c>
      <c r="D809" s="3" t="s">
        <v>36</v>
      </c>
      <c r="E809" s="3" t="s">
        <v>42</v>
      </c>
      <c r="F809" s="3" t="s">
        <v>42</v>
      </c>
      <c r="G809" s="3">
        <v>2016</v>
      </c>
      <c r="H809" s="3" t="str">
        <f>CONCATENATE("64240507745")</f>
        <v>64240507745</v>
      </c>
      <c r="I809" s="3" t="s">
        <v>25</v>
      </c>
      <c r="J809" s="3" t="s">
        <v>26</v>
      </c>
      <c r="K809" s="3" t="str">
        <f t="shared" si="31"/>
        <v/>
      </c>
      <c r="L809" s="3" t="str">
        <f>CONCATENATE("11 11.2 4b")</f>
        <v>11 11.2 4b</v>
      </c>
      <c r="M809" s="3" t="str">
        <f>CONCATENATE("FCCVCN34S18B727J")</f>
        <v>FCCVCN34S18B727J</v>
      </c>
      <c r="N809" s="3" t="s">
        <v>915</v>
      </c>
      <c r="O809" s="3"/>
      <c r="P809" s="4">
        <v>42783</v>
      </c>
      <c r="Q809" s="3" t="s">
        <v>27</v>
      </c>
      <c r="R809" s="3" t="s">
        <v>28</v>
      </c>
      <c r="S809" s="3" t="s">
        <v>29</v>
      </c>
      <c r="T809" s="5">
        <v>2823.69</v>
      </c>
      <c r="U809" s="5">
        <v>1217.58</v>
      </c>
      <c r="V809" s="5">
        <v>1124.3900000000001</v>
      </c>
      <c r="W809" s="3">
        <v>481.72</v>
      </c>
    </row>
    <row r="810" spans="1:23" ht="60.75">
      <c r="A810" s="3" t="s">
        <v>23</v>
      </c>
      <c r="B810" s="3" t="s">
        <v>24</v>
      </c>
      <c r="C810" s="3" t="s">
        <v>35</v>
      </c>
      <c r="D810" s="3" t="s">
        <v>39</v>
      </c>
      <c r="E810" s="3" t="s">
        <v>30</v>
      </c>
      <c r="F810" s="3" t="s">
        <v>533</v>
      </c>
      <c r="G810" s="3">
        <v>2016</v>
      </c>
      <c r="H810" s="3" t="str">
        <f>CONCATENATE("64240424289")</f>
        <v>64240424289</v>
      </c>
      <c r="I810" s="3" t="s">
        <v>25</v>
      </c>
      <c r="J810" s="3" t="s">
        <v>26</v>
      </c>
      <c r="K810" s="3" t="str">
        <f t="shared" si="31"/>
        <v/>
      </c>
      <c r="L810" s="3" t="str">
        <f>CONCATENATE("11 11.2 4b")</f>
        <v>11 11.2 4b</v>
      </c>
      <c r="M810" s="3" t="str">
        <f>CONCATENATE("TSSMRT50B04I461Y")</f>
        <v>TSSMRT50B04I461Y</v>
      </c>
      <c r="N810" s="3" t="s">
        <v>916</v>
      </c>
      <c r="O810" s="3"/>
      <c r="P810" s="4">
        <v>42783</v>
      </c>
      <c r="Q810" s="3" t="s">
        <v>27</v>
      </c>
      <c r="R810" s="3" t="s">
        <v>28</v>
      </c>
      <c r="S810" s="3" t="s">
        <v>29</v>
      </c>
      <c r="T810" s="5">
        <v>1533.65</v>
      </c>
      <c r="U810" s="3">
        <v>661.31</v>
      </c>
      <c r="V810" s="3">
        <v>610.70000000000005</v>
      </c>
      <c r="W810" s="3">
        <v>261.64</v>
      </c>
    </row>
    <row r="811" spans="1:23" ht="60.75">
      <c r="A811" s="3" t="s">
        <v>23</v>
      </c>
      <c r="B811" s="3" t="s">
        <v>24</v>
      </c>
      <c r="C811" s="3" t="s">
        <v>35</v>
      </c>
      <c r="D811" s="3" t="s">
        <v>36</v>
      </c>
      <c r="E811" s="3" t="s">
        <v>32</v>
      </c>
      <c r="F811" s="3" t="s">
        <v>208</v>
      </c>
      <c r="G811" s="3">
        <v>2016</v>
      </c>
      <c r="H811" s="3" t="str">
        <f>CONCATENATE("64240569166")</f>
        <v>64240569166</v>
      </c>
      <c r="I811" s="3" t="s">
        <v>25</v>
      </c>
      <c r="J811" s="3" t="s">
        <v>26</v>
      </c>
      <c r="K811" s="3" t="str">
        <f t="shared" si="31"/>
        <v/>
      </c>
      <c r="L811" s="3" t="str">
        <f>CONCATENATE("10 10.1 4b")</f>
        <v>10 10.1 4b</v>
      </c>
      <c r="M811" s="3" t="str">
        <f>CONCATENATE("MNTVNI44L26F415A")</f>
        <v>MNTVNI44L26F415A</v>
      </c>
      <c r="N811" s="3" t="s">
        <v>917</v>
      </c>
      <c r="O811" s="3"/>
      <c r="P811" s="4">
        <v>42783</v>
      </c>
      <c r="Q811" s="3" t="s">
        <v>27</v>
      </c>
      <c r="R811" s="3" t="s">
        <v>28</v>
      </c>
      <c r="S811" s="3" t="s">
        <v>29</v>
      </c>
      <c r="T811" s="5">
        <v>2626.2</v>
      </c>
      <c r="U811" s="5">
        <v>1132.42</v>
      </c>
      <c r="V811" s="5">
        <v>1045.75</v>
      </c>
      <c r="W811" s="3">
        <v>448.03</v>
      </c>
    </row>
    <row r="812" spans="1:23" ht="60.75">
      <c r="A812" s="3" t="s">
        <v>23</v>
      </c>
      <c r="B812" s="3" t="s">
        <v>24</v>
      </c>
      <c r="C812" s="3" t="s">
        <v>35</v>
      </c>
      <c r="D812" s="3" t="s">
        <v>36</v>
      </c>
      <c r="E812" s="3" t="s">
        <v>30</v>
      </c>
      <c r="F812" s="3" t="s">
        <v>257</v>
      </c>
      <c r="G812" s="3">
        <v>2016</v>
      </c>
      <c r="H812" s="3" t="str">
        <f>CONCATENATE("64240689683")</f>
        <v>64240689683</v>
      </c>
      <c r="I812" s="3" t="s">
        <v>25</v>
      </c>
      <c r="J812" s="3" t="s">
        <v>26</v>
      </c>
      <c r="K812" s="3" t="str">
        <f t="shared" si="31"/>
        <v/>
      </c>
      <c r="L812" s="3" t="str">
        <f>CONCATENATE("11 11.2 4b")</f>
        <v>11 11.2 4b</v>
      </c>
      <c r="M812" s="3" t="str">
        <f>CONCATENATE("CCCMDL38P52F428B")</f>
        <v>CCCMDL38P52F428B</v>
      </c>
      <c r="N812" s="3" t="s">
        <v>918</v>
      </c>
      <c r="O812" s="3"/>
      <c r="P812" s="4">
        <v>42783</v>
      </c>
      <c r="Q812" s="3" t="s">
        <v>27</v>
      </c>
      <c r="R812" s="3" t="s">
        <v>28</v>
      </c>
      <c r="S812" s="3" t="s">
        <v>29</v>
      </c>
      <c r="T812" s="5">
        <v>5829.36</v>
      </c>
      <c r="U812" s="5">
        <v>2513.62</v>
      </c>
      <c r="V812" s="5">
        <v>2321.25</v>
      </c>
      <c r="W812" s="3">
        <v>994.49</v>
      </c>
    </row>
    <row r="813" spans="1:23" ht="60.75">
      <c r="A813" s="3" t="s">
        <v>23</v>
      </c>
      <c r="B813" s="3" t="s">
        <v>24</v>
      </c>
      <c r="C813" s="3" t="s">
        <v>35</v>
      </c>
      <c r="D813" s="3" t="s">
        <v>36</v>
      </c>
      <c r="E813" s="3" t="s">
        <v>33</v>
      </c>
      <c r="F813" s="3" t="s">
        <v>89</v>
      </c>
      <c r="G813" s="3">
        <v>2016</v>
      </c>
      <c r="H813" s="3" t="str">
        <f>CONCATENATE("64210944878")</f>
        <v>64210944878</v>
      </c>
      <c r="I813" s="3" t="s">
        <v>25</v>
      </c>
      <c r="J813" s="3" t="s">
        <v>26</v>
      </c>
      <c r="K813" s="3" t="str">
        <f t="shared" si="31"/>
        <v/>
      </c>
      <c r="L813" s="3" t="str">
        <f>CONCATENATE("13 13.1 4a")</f>
        <v>13 13.1 4a</v>
      </c>
      <c r="M813" s="3" t="str">
        <f>CONCATENATE("SLQTNN49D41F509T")</f>
        <v>SLQTNN49D41F509T</v>
      </c>
      <c r="N813" s="3" t="s">
        <v>919</v>
      </c>
      <c r="O813" s="3"/>
      <c r="P813" s="4">
        <v>42783</v>
      </c>
      <c r="Q813" s="3" t="s">
        <v>27</v>
      </c>
      <c r="R813" s="3" t="s">
        <v>28</v>
      </c>
      <c r="S813" s="3" t="s">
        <v>29</v>
      </c>
      <c r="T813" s="5">
        <v>1690.48</v>
      </c>
      <c r="U813" s="3">
        <v>728.93</v>
      </c>
      <c r="V813" s="3">
        <v>673.15</v>
      </c>
      <c r="W813" s="3">
        <v>288.39999999999998</v>
      </c>
    </row>
    <row r="814" spans="1:23" ht="60.75">
      <c r="A814" s="3" t="s">
        <v>23</v>
      </c>
      <c r="B814" s="3" t="s">
        <v>24</v>
      </c>
      <c r="C814" s="3" t="s">
        <v>35</v>
      </c>
      <c r="D814" s="3" t="s">
        <v>36</v>
      </c>
      <c r="E814" s="3" t="s">
        <v>30</v>
      </c>
      <c r="F814" s="3" t="s">
        <v>37</v>
      </c>
      <c r="G814" s="3">
        <v>2016</v>
      </c>
      <c r="H814" s="3" t="str">
        <f>CONCATENATE("64240413704")</f>
        <v>64240413704</v>
      </c>
      <c r="I814" s="3" t="s">
        <v>25</v>
      </c>
      <c r="J814" s="3" t="s">
        <v>26</v>
      </c>
      <c r="K814" s="3" t="str">
        <f t="shared" ref="K814:K877" si="32">CONCATENATE("")</f>
        <v/>
      </c>
      <c r="L814" s="3" t="str">
        <f>CONCATENATE("10 10.1 4b")</f>
        <v>10 10.1 4b</v>
      </c>
      <c r="M814" s="3" t="str">
        <f>CONCATENATE("BGLSRA58H27H182J")</f>
        <v>BGLSRA58H27H182J</v>
      </c>
      <c r="N814" s="3" t="s">
        <v>920</v>
      </c>
      <c r="O814" s="3"/>
      <c r="P814" s="4">
        <v>42783</v>
      </c>
      <c r="Q814" s="3" t="s">
        <v>27</v>
      </c>
      <c r="R814" s="3" t="s">
        <v>28</v>
      </c>
      <c r="S814" s="3" t="s">
        <v>29</v>
      </c>
      <c r="T814" s="5">
        <v>3091.67</v>
      </c>
      <c r="U814" s="5">
        <v>1333.13</v>
      </c>
      <c r="V814" s="5">
        <v>1231.0999999999999</v>
      </c>
      <c r="W814" s="3">
        <v>527.44000000000005</v>
      </c>
    </row>
    <row r="815" spans="1:23" ht="60.75">
      <c r="A815" s="3" t="s">
        <v>23</v>
      </c>
      <c r="B815" s="3" t="s">
        <v>24</v>
      </c>
      <c r="C815" s="3" t="s">
        <v>35</v>
      </c>
      <c r="D815" s="3" t="s">
        <v>43</v>
      </c>
      <c r="E815" s="3" t="s">
        <v>30</v>
      </c>
      <c r="F815" s="3" t="s">
        <v>113</v>
      </c>
      <c r="G815" s="3">
        <v>2016</v>
      </c>
      <c r="H815" s="3" t="str">
        <f>CONCATENATE("64210744096")</f>
        <v>64210744096</v>
      </c>
      <c r="I815" s="3" t="s">
        <v>25</v>
      </c>
      <c r="J815" s="3" t="s">
        <v>26</v>
      </c>
      <c r="K815" s="3" t="str">
        <f t="shared" si="32"/>
        <v/>
      </c>
      <c r="L815" s="3" t="str">
        <f>CONCATENATE("13 13.1 4a")</f>
        <v>13 13.1 4a</v>
      </c>
      <c r="M815" s="3" t="str">
        <f>CONCATENATE("RCDPTR44D18G376I")</f>
        <v>RCDPTR44D18G376I</v>
      </c>
      <c r="N815" s="3" t="s">
        <v>921</v>
      </c>
      <c r="O815" s="3"/>
      <c r="P815" s="4">
        <v>42783</v>
      </c>
      <c r="Q815" s="3" t="s">
        <v>27</v>
      </c>
      <c r="R815" s="3" t="s">
        <v>28</v>
      </c>
      <c r="S815" s="3" t="s">
        <v>29</v>
      </c>
      <c r="T815" s="5">
        <v>3468.64</v>
      </c>
      <c r="U815" s="5">
        <v>1495.68</v>
      </c>
      <c r="V815" s="5">
        <v>1381.21</v>
      </c>
      <c r="W815" s="3">
        <v>591.75</v>
      </c>
    </row>
    <row r="816" spans="1:23" ht="60.75">
      <c r="A816" s="3" t="s">
        <v>23</v>
      </c>
      <c r="B816" s="3" t="s">
        <v>24</v>
      </c>
      <c r="C816" s="3" t="s">
        <v>35</v>
      </c>
      <c r="D816" s="3" t="s">
        <v>36</v>
      </c>
      <c r="E816" s="3" t="s">
        <v>42</v>
      </c>
      <c r="F816" s="3" t="s">
        <v>42</v>
      </c>
      <c r="G816" s="3">
        <v>2016</v>
      </c>
      <c r="H816" s="3" t="str">
        <f>CONCATENATE("64240254322")</f>
        <v>64240254322</v>
      </c>
      <c r="I816" s="3" t="s">
        <v>25</v>
      </c>
      <c r="J816" s="3" t="s">
        <v>26</v>
      </c>
      <c r="K816" s="3" t="str">
        <f t="shared" si="32"/>
        <v/>
      </c>
      <c r="L816" s="3" t="str">
        <f>CONCATENATE("11 11.2 4b")</f>
        <v>11 11.2 4b</v>
      </c>
      <c r="M816" s="3" t="str">
        <f>CONCATENATE("CRRBRN35C20C321F")</f>
        <v>CRRBRN35C20C321F</v>
      </c>
      <c r="N816" s="3" t="s">
        <v>922</v>
      </c>
      <c r="O816" s="3"/>
      <c r="P816" s="4">
        <v>42783</v>
      </c>
      <c r="Q816" s="3" t="s">
        <v>27</v>
      </c>
      <c r="R816" s="3" t="s">
        <v>28</v>
      </c>
      <c r="S816" s="3" t="s">
        <v>29</v>
      </c>
      <c r="T816" s="5">
        <v>2370.67</v>
      </c>
      <c r="U816" s="5">
        <v>1022.23</v>
      </c>
      <c r="V816" s="3">
        <v>944</v>
      </c>
      <c r="W816" s="3">
        <v>404.44</v>
      </c>
    </row>
    <row r="817" spans="1:23" ht="60.75">
      <c r="A817" s="3" t="s">
        <v>23</v>
      </c>
      <c r="B817" s="3" t="s">
        <v>24</v>
      </c>
      <c r="C817" s="3" t="s">
        <v>35</v>
      </c>
      <c r="D817" s="3" t="s">
        <v>48</v>
      </c>
      <c r="E817" s="3" t="s">
        <v>49</v>
      </c>
      <c r="F817" s="3" t="s">
        <v>50</v>
      </c>
      <c r="G817" s="3">
        <v>2016</v>
      </c>
      <c r="H817" s="3" t="str">
        <f>CONCATENATE("64240893004")</f>
        <v>64240893004</v>
      </c>
      <c r="I817" s="3" t="s">
        <v>25</v>
      </c>
      <c r="J817" s="3" t="s">
        <v>26</v>
      </c>
      <c r="K817" s="3" t="str">
        <f t="shared" si="32"/>
        <v/>
      </c>
      <c r="L817" s="3" t="str">
        <f>CONCATENATE("11 11.2 4b")</f>
        <v>11 11.2 4b</v>
      </c>
      <c r="M817" s="3" t="str">
        <f>CONCATENATE("SCGGPP58P41I651F")</f>
        <v>SCGGPP58P41I651F</v>
      </c>
      <c r="N817" s="3" t="s">
        <v>923</v>
      </c>
      <c r="O817" s="3"/>
      <c r="P817" s="4">
        <v>42783</v>
      </c>
      <c r="Q817" s="3" t="s">
        <v>27</v>
      </c>
      <c r="R817" s="3" t="s">
        <v>28</v>
      </c>
      <c r="S817" s="3" t="s">
        <v>29</v>
      </c>
      <c r="T817" s="3">
        <v>534.83000000000004</v>
      </c>
      <c r="U817" s="3">
        <v>230.62</v>
      </c>
      <c r="V817" s="3">
        <v>212.97</v>
      </c>
      <c r="W817" s="3">
        <v>91.24</v>
      </c>
    </row>
    <row r="818" spans="1:23" ht="60.75">
      <c r="A818" s="3" t="s">
        <v>23</v>
      </c>
      <c r="B818" s="3" t="s">
        <v>24</v>
      </c>
      <c r="C818" s="3" t="s">
        <v>35</v>
      </c>
      <c r="D818" s="3" t="s">
        <v>48</v>
      </c>
      <c r="E818" s="3" t="s">
        <v>30</v>
      </c>
      <c r="F818" s="3" t="s">
        <v>91</v>
      </c>
      <c r="G818" s="3">
        <v>2016</v>
      </c>
      <c r="H818" s="3" t="str">
        <f>CONCATENATE("64240316436")</f>
        <v>64240316436</v>
      </c>
      <c r="I818" s="3" t="s">
        <v>25</v>
      </c>
      <c r="J818" s="3" t="s">
        <v>26</v>
      </c>
      <c r="K818" s="3" t="str">
        <f t="shared" si="32"/>
        <v/>
      </c>
      <c r="L818" s="3" t="str">
        <f>CONCATENATE("11 11.2 4b")</f>
        <v>11 11.2 4b</v>
      </c>
      <c r="M818" s="3" t="str">
        <f>CONCATENATE("GRNMRZ46D23D628L")</f>
        <v>GRNMRZ46D23D628L</v>
      </c>
      <c r="N818" s="3" t="s">
        <v>672</v>
      </c>
      <c r="O818" s="3"/>
      <c r="P818" s="4">
        <v>42783</v>
      </c>
      <c r="Q818" s="3" t="s">
        <v>27</v>
      </c>
      <c r="R818" s="3" t="s">
        <v>28</v>
      </c>
      <c r="S818" s="3" t="s">
        <v>29</v>
      </c>
      <c r="T818" s="5">
        <v>14751.8</v>
      </c>
      <c r="U818" s="5">
        <v>6360.98</v>
      </c>
      <c r="V818" s="5">
        <v>5874.17</v>
      </c>
      <c r="W818" s="5">
        <v>2516.65</v>
      </c>
    </row>
    <row r="819" spans="1:23" ht="72.75">
      <c r="A819" s="3" t="s">
        <v>23</v>
      </c>
      <c r="B819" s="3" t="s">
        <v>24</v>
      </c>
      <c r="C819" s="3" t="s">
        <v>35</v>
      </c>
      <c r="D819" s="3" t="s">
        <v>43</v>
      </c>
      <c r="E819" s="3" t="s">
        <v>30</v>
      </c>
      <c r="F819" s="3" t="s">
        <v>113</v>
      </c>
      <c r="G819" s="3">
        <v>2016</v>
      </c>
      <c r="H819" s="3" t="str">
        <f>CONCATENATE("64240780102")</f>
        <v>64240780102</v>
      </c>
      <c r="I819" s="3" t="s">
        <v>25</v>
      </c>
      <c r="J819" s="3" t="s">
        <v>26</v>
      </c>
      <c r="K819" s="3" t="str">
        <f t="shared" si="32"/>
        <v/>
      </c>
      <c r="L819" s="3" t="str">
        <f>CONCATENATE("11 11.2 4b")</f>
        <v>11 11.2 4b</v>
      </c>
      <c r="M819" s="3" t="str">
        <f>CONCATENATE("CRLMSM72T07B352A")</f>
        <v>CRLMSM72T07B352A</v>
      </c>
      <c r="N819" s="3" t="s">
        <v>924</v>
      </c>
      <c r="O819" s="3"/>
      <c r="P819" s="4">
        <v>42783</v>
      </c>
      <c r="Q819" s="3" t="s">
        <v>27</v>
      </c>
      <c r="R819" s="3" t="s">
        <v>28</v>
      </c>
      <c r="S819" s="3" t="s">
        <v>29</v>
      </c>
      <c r="T819" s="5">
        <v>6036.65</v>
      </c>
      <c r="U819" s="5">
        <v>2603</v>
      </c>
      <c r="V819" s="5">
        <v>2403.79</v>
      </c>
      <c r="W819" s="5">
        <v>1029.8599999999999</v>
      </c>
    </row>
    <row r="820" spans="1:23" ht="60.75">
      <c r="A820" s="3" t="s">
        <v>23</v>
      </c>
      <c r="B820" s="3" t="s">
        <v>24</v>
      </c>
      <c r="C820" s="3" t="s">
        <v>35</v>
      </c>
      <c r="D820" s="3" t="s">
        <v>39</v>
      </c>
      <c r="E820" s="3" t="s">
        <v>32</v>
      </c>
      <c r="F820" s="3" t="s">
        <v>215</v>
      </c>
      <c r="G820" s="3">
        <v>2016</v>
      </c>
      <c r="H820" s="3" t="str">
        <f>CONCATENATE("64240266219")</f>
        <v>64240266219</v>
      </c>
      <c r="I820" s="3" t="s">
        <v>25</v>
      </c>
      <c r="J820" s="3" t="s">
        <v>26</v>
      </c>
      <c r="K820" s="3" t="str">
        <f t="shared" si="32"/>
        <v/>
      </c>
      <c r="L820" s="3" t="str">
        <f>CONCATENATE("10 10.1 4a")</f>
        <v>10 10.1 4a</v>
      </c>
      <c r="M820" s="3" t="str">
        <f>CONCATENATE("PTRSNT71L21F453H")</f>
        <v>PTRSNT71L21F453H</v>
      </c>
      <c r="N820" s="3" t="s">
        <v>925</v>
      </c>
      <c r="O820" s="3"/>
      <c r="P820" s="4">
        <v>42783</v>
      </c>
      <c r="Q820" s="3" t="s">
        <v>27</v>
      </c>
      <c r="R820" s="3" t="s">
        <v>28</v>
      </c>
      <c r="S820" s="3" t="s">
        <v>29</v>
      </c>
      <c r="T820" s="3">
        <v>72</v>
      </c>
      <c r="U820" s="3">
        <v>31.05</v>
      </c>
      <c r="V820" s="3">
        <v>28.67</v>
      </c>
      <c r="W820" s="3">
        <v>12.28</v>
      </c>
    </row>
    <row r="821" spans="1:23" ht="60.75">
      <c r="A821" s="3" t="s">
        <v>23</v>
      </c>
      <c r="B821" s="3" t="s">
        <v>24</v>
      </c>
      <c r="C821" s="3" t="s">
        <v>35</v>
      </c>
      <c r="D821" s="3" t="s">
        <v>43</v>
      </c>
      <c r="E821" s="3" t="s">
        <v>32</v>
      </c>
      <c r="F821" s="3" t="s">
        <v>335</v>
      </c>
      <c r="G821" s="3">
        <v>2016</v>
      </c>
      <c r="H821" s="3" t="str">
        <f>CONCATENATE("64210527343")</f>
        <v>64210527343</v>
      </c>
      <c r="I821" s="3" t="s">
        <v>31</v>
      </c>
      <c r="J821" s="3" t="s">
        <v>26</v>
      </c>
      <c r="K821" s="3" t="str">
        <f t="shared" si="32"/>
        <v/>
      </c>
      <c r="L821" s="3" t="str">
        <f>CONCATENATE("13 13.1 4a")</f>
        <v>13 13.1 4a</v>
      </c>
      <c r="M821" s="3" t="str">
        <f>CONCATENATE("CCCGZN72C20E785T")</f>
        <v>CCCGZN72C20E785T</v>
      </c>
      <c r="N821" s="3" t="s">
        <v>900</v>
      </c>
      <c r="O821" s="3"/>
      <c r="P821" s="4">
        <v>42783</v>
      </c>
      <c r="Q821" s="3" t="s">
        <v>27</v>
      </c>
      <c r="R821" s="3" t="s">
        <v>28</v>
      </c>
      <c r="S821" s="3" t="s">
        <v>29</v>
      </c>
      <c r="T821" s="5">
        <v>4077.23</v>
      </c>
      <c r="U821" s="5">
        <v>1758.1</v>
      </c>
      <c r="V821" s="5">
        <v>1623.55</v>
      </c>
      <c r="W821" s="3">
        <v>695.58</v>
      </c>
    </row>
    <row r="822" spans="1:23" ht="60.75">
      <c r="A822" s="3" t="s">
        <v>23</v>
      </c>
      <c r="B822" s="3" t="s">
        <v>24</v>
      </c>
      <c r="C822" s="3" t="s">
        <v>35</v>
      </c>
      <c r="D822" s="3" t="s">
        <v>36</v>
      </c>
      <c r="E822" s="3" t="s">
        <v>30</v>
      </c>
      <c r="F822" s="3" t="s">
        <v>67</v>
      </c>
      <c r="G822" s="3">
        <v>2016</v>
      </c>
      <c r="H822" s="3" t="str">
        <f>CONCATENATE("64240626362")</f>
        <v>64240626362</v>
      </c>
      <c r="I822" s="3" t="s">
        <v>31</v>
      </c>
      <c r="J822" s="3" t="s">
        <v>26</v>
      </c>
      <c r="K822" s="3" t="str">
        <f t="shared" si="32"/>
        <v/>
      </c>
      <c r="L822" s="3" t="str">
        <f>CONCATENATE("10 10.1 4a")</f>
        <v>10 10.1 4a</v>
      </c>
      <c r="M822" s="3" t="str">
        <f>CONCATENATE("MZZPLA82H20G920A")</f>
        <v>MZZPLA82H20G920A</v>
      </c>
      <c r="N822" s="3" t="s">
        <v>926</v>
      </c>
      <c r="O822" s="3"/>
      <c r="P822" s="4">
        <v>42783</v>
      </c>
      <c r="Q822" s="3" t="s">
        <v>27</v>
      </c>
      <c r="R822" s="3" t="s">
        <v>28</v>
      </c>
      <c r="S822" s="3" t="s">
        <v>29</v>
      </c>
      <c r="T822" s="3">
        <v>360</v>
      </c>
      <c r="U822" s="3">
        <v>155.22999999999999</v>
      </c>
      <c r="V822" s="3">
        <v>143.35</v>
      </c>
      <c r="W822" s="3">
        <v>61.42</v>
      </c>
    </row>
    <row r="823" spans="1:23" ht="36.75">
      <c r="A823" s="3" t="s">
        <v>23</v>
      </c>
      <c r="B823" s="3" t="s">
        <v>24</v>
      </c>
      <c r="C823" s="3" t="s">
        <v>35</v>
      </c>
      <c r="D823" s="3" t="s">
        <v>39</v>
      </c>
      <c r="E823" s="3" t="s">
        <v>34</v>
      </c>
      <c r="F823" s="3" t="s">
        <v>170</v>
      </c>
      <c r="G823" s="3">
        <v>2016</v>
      </c>
      <c r="H823" s="3" t="str">
        <f>CONCATENATE("64240663241")</f>
        <v>64240663241</v>
      </c>
      <c r="I823" s="3" t="s">
        <v>25</v>
      </c>
      <c r="J823" s="3" t="s">
        <v>26</v>
      </c>
      <c r="K823" s="3" t="str">
        <f t="shared" si="32"/>
        <v/>
      </c>
      <c r="L823" s="3" t="str">
        <f>CONCATENATE("11 11.2 4b")</f>
        <v>11 11.2 4b</v>
      </c>
      <c r="M823" s="3" t="str">
        <f>CONCATENATE("02461560423")</f>
        <v>02461560423</v>
      </c>
      <c r="N823" s="3" t="s">
        <v>927</v>
      </c>
      <c r="O823" s="3"/>
      <c r="P823" s="4">
        <v>42783</v>
      </c>
      <c r="Q823" s="3" t="s">
        <v>27</v>
      </c>
      <c r="R823" s="3" t="s">
        <v>28</v>
      </c>
      <c r="S823" s="3" t="s">
        <v>29</v>
      </c>
      <c r="T823" s="5">
        <v>4427.38</v>
      </c>
      <c r="U823" s="5">
        <v>1909.09</v>
      </c>
      <c r="V823" s="5">
        <v>1762.98</v>
      </c>
      <c r="W823" s="3">
        <v>755.31</v>
      </c>
    </row>
    <row r="824" spans="1:23" ht="60.75">
      <c r="A824" s="3" t="s">
        <v>23</v>
      </c>
      <c r="B824" s="3" t="s">
        <v>24</v>
      </c>
      <c r="C824" s="3" t="s">
        <v>35</v>
      </c>
      <c r="D824" s="3" t="s">
        <v>36</v>
      </c>
      <c r="E824" s="3" t="s">
        <v>30</v>
      </c>
      <c r="F824" s="3" t="s">
        <v>86</v>
      </c>
      <c r="G824" s="3">
        <v>2016</v>
      </c>
      <c r="H824" s="3" t="str">
        <f>CONCATENATE("64210726796")</f>
        <v>64210726796</v>
      </c>
      <c r="I824" s="3" t="s">
        <v>25</v>
      </c>
      <c r="J824" s="3" t="s">
        <v>26</v>
      </c>
      <c r="K824" s="3" t="str">
        <f t="shared" si="32"/>
        <v/>
      </c>
      <c r="L824" s="3" t="str">
        <f>CONCATENATE("13 13.1 4a")</f>
        <v>13 13.1 4a</v>
      </c>
      <c r="M824" s="3" t="str">
        <f>CONCATENATE("MSSRML34C18A044O")</f>
        <v>MSSRML34C18A044O</v>
      </c>
      <c r="N824" s="3" t="s">
        <v>928</v>
      </c>
      <c r="O824" s="3"/>
      <c r="P824" s="4">
        <v>42783</v>
      </c>
      <c r="Q824" s="3" t="s">
        <v>27</v>
      </c>
      <c r="R824" s="3" t="s">
        <v>28</v>
      </c>
      <c r="S824" s="3" t="s">
        <v>29</v>
      </c>
      <c r="T824" s="3">
        <v>609.38</v>
      </c>
      <c r="U824" s="3">
        <v>262.76</v>
      </c>
      <c r="V824" s="3">
        <v>242.66</v>
      </c>
      <c r="W824" s="3">
        <v>103.96</v>
      </c>
    </row>
    <row r="825" spans="1:23" ht="48.75">
      <c r="A825" s="3" t="s">
        <v>23</v>
      </c>
      <c r="B825" s="3" t="s">
        <v>24</v>
      </c>
      <c r="C825" s="3" t="s">
        <v>35</v>
      </c>
      <c r="D825" s="3" t="s">
        <v>43</v>
      </c>
      <c r="E825" s="3" t="s">
        <v>30</v>
      </c>
      <c r="F825" s="3" t="s">
        <v>124</v>
      </c>
      <c r="G825" s="3">
        <v>2016</v>
      </c>
      <c r="H825" s="3" t="str">
        <f>CONCATENATE("64240553202")</f>
        <v>64240553202</v>
      </c>
      <c r="I825" s="3" t="s">
        <v>25</v>
      </c>
      <c r="J825" s="3" t="s">
        <v>26</v>
      </c>
      <c r="K825" s="3" t="str">
        <f t="shared" si="32"/>
        <v/>
      </c>
      <c r="L825" s="3" t="str">
        <f>CONCATENATE("11 11.2 4b")</f>
        <v>11 11.2 4b</v>
      </c>
      <c r="M825" s="3" t="str">
        <f>CONCATENATE("FZZPLA66C51Z110I")</f>
        <v>FZZPLA66C51Z110I</v>
      </c>
      <c r="N825" s="3" t="s">
        <v>929</v>
      </c>
      <c r="O825" s="3"/>
      <c r="P825" s="4">
        <v>42783</v>
      </c>
      <c r="Q825" s="3" t="s">
        <v>27</v>
      </c>
      <c r="R825" s="3" t="s">
        <v>28</v>
      </c>
      <c r="S825" s="3" t="s">
        <v>29</v>
      </c>
      <c r="T825" s="5">
        <v>3239.76</v>
      </c>
      <c r="U825" s="5">
        <v>1396.98</v>
      </c>
      <c r="V825" s="5">
        <v>1290.07</v>
      </c>
      <c r="W825" s="3">
        <v>552.71</v>
      </c>
    </row>
    <row r="826" spans="1:23" ht="60.75">
      <c r="A826" s="3" t="s">
        <v>23</v>
      </c>
      <c r="B826" s="3" t="s">
        <v>24</v>
      </c>
      <c r="C826" s="3" t="s">
        <v>35</v>
      </c>
      <c r="D826" s="3" t="s">
        <v>36</v>
      </c>
      <c r="E826" s="3" t="s">
        <v>32</v>
      </c>
      <c r="F826" s="3" t="s">
        <v>208</v>
      </c>
      <c r="G826" s="3">
        <v>2016</v>
      </c>
      <c r="H826" s="3" t="str">
        <f>CONCATENATE("64240236410")</f>
        <v>64240236410</v>
      </c>
      <c r="I826" s="3" t="s">
        <v>25</v>
      </c>
      <c r="J826" s="3" t="s">
        <v>26</v>
      </c>
      <c r="K826" s="3" t="str">
        <f t="shared" si="32"/>
        <v/>
      </c>
      <c r="L826" s="3" t="str">
        <f>CONCATENATE("11 11.2 4b")</f>
        <v>11 11.2 4b</v>
      </c>
      <c r="M826" s="3" t="str">
        <f>CONCATENATE("MRZNNA40E54A335Q")</f>
        <v>MRZNNA40E54A335Q</v>
      </c>
      <c r="N826" s="3" t="s">
        <v>930</v>
      </c>
      <c r="O826" s="3"/>
      <c r="P826" s="4">
        <v>42783</v>
      </c>
      <c r="Q826" s="3" t="s">
        <v>27</v>
      </c>
      <c r="R826" s="3" t="s">
        <v>28</v>
      </c>
      <c r="S826" s="3" t="s">
        <v>29</v>
      </c>
      <c r="T826" s="3">
        <v>613.76</v>
      </c>
      <c r="U826" s="3">
        <v>264.64999999999998</v>
      </c>
      <c r="V826" s="3">
        <v>244.4</v>
      </c>
      <c r="W826" s="3">
        <v>104.71</v>
      </c>
    </row>
    <row r="827" spans="1:23" ht="60.75">
      <c r="A827" s="3" t="s">
        <v>23</v>
      </c>
      <c r="B827" s="3" t="s">
        <v>24</v>
      </c>
      <c r="C827" s="3" t="s">
        <v>35</v>
      </c>
      <c r="D827" s="3" t="s">
        <v>48</v>
      </c>
      <c r="E827" s="3" t="s">
        <v>34</v>
      </c>
      <c r="F827" s="3" t="s">
        <v>141</v>
      </c>
      <c r="G827" s="3">
        <v>2016</v>
      </c>
      <c r="H827" s="3" t="str">
        <f>CONCATENATE("64240737557")</f>
        <v>64240737557</v>
      </c>
      <c r="I827" s="3" t="s">
        <v>25</v>
      </c>
      <c r="J827" s="3" t="s">
        <v>26</v>
      </c>
      <c r="K827" s="3" t="str">
        <f t="shared" si="32"/>
        <v/>
      </c>
      <c r="L827" s="3" t="str">
        <f>CONCATENATE("11 11.2 4b")</f>
        <v>11 11.2 4b</v>
      </c>
      <c r="M827" s="3" t="str">
        <f>CONCATENATE("SRRNND39E62E783P")</f>
        <v>SRRNND39E62E783P</v>
      </c>
      <c r="N827" s="3" t="s">
        <v>931</v>
      </c>
      <c r="O827" s="3"/>
      <c r="P827" s="4">
        <v>42783</v>
      </c>
      <c r="Q827" s="3" t="s">
        <v>27</v>
      </c>
      <c r="R827" s="3" t="s">
        <v>28</v>
      </c>
      <c r="S827" s="3" t="s">
        <v>29</v>
      </c>
      <c r="T827" s="5">
        <v>1332.77</v>
      </c>
      <c r="U827" s="3">
        <v>574.69000000000005</v>
      </c>
      <c r="V827" s="3">
        <v>530.71</v>
      </c>
      <c r="W827" s="3">
        <v>227.37</v>
      </c>
    </row>
    <row r="828" spans="1:23" ht="36.75">
      <c r="A828" s="3" t="s">
        <v>23</v>
      </c>
      <c r="B828" s="3" t="s">
        <v>24</v>
      </c>
      <c r="C828" s="3" t="s">
        <v>35</v>
      </c>
      <c r="D828" s="3" t="s">
        <v>48</v>
      </c>
      <c r="E828" s="3" t="s">
        <v>30</v>
      </c>
      <c r="F828" s="3" t="s">
        <v>57</v>
      </c>
      <c r="G828" s="3">
        <v>2016</v>
      </c>
      <c r="H828" s="3" t="str">
        <f>CONCATENATE("64240601001")</f>
        <v>64240601001</v>
      </c>
      <c r="I828" s="3" t="s">
        <v>25</v>
      </c>
      <c r="J828" s="3" t="s">
        <v>26</v>
      </c>
      <c r="K828" s="3" t="str">
        <f t="shared" si="32"/>
        <v/>
      </c>
      <c r="L828" s="3" t="str">
        <f>CONCATENATE("11 11.2 4b")</f>
        <v>11 11.2 4b</v>
      </c>
      <c r="M828" s="3" t="str">
        <f>CONCATENATE("01445560434")</f>
        <v>01445560434</v>
      </c>
      <c r="N828" s="3" t="s">
        <v>932</v>
      </c>
      <c r="O828" s="3"/>
      <c r="P828" s="4">
        <v>42783</v>
      </c>
      <c r="Q828" s="3" t="s">
        <v>27</v>
      </c>
      <c r="R828" s="3" t="s">
        <v>28</v>
      </c>
      <c r="S828" s="3" t="s">
        <v>29</v>
      </c>
      <c r="T828" s="5">
        <v>1258.0999999999999</v>
      </c>
      <c r="U828" s="3">
        <v>542.49</v>
      </c>
      <c r="V828" s="3">
        <v>500.98</v>
      </c>
      <c r="W828" s="3">
        <v>214.63</v>
      </c>
    </row>
    <row r="829" spans="1:23" ht="60.75">
      <c r="A829" s="3" t="s">
        <v>23</v>
      </c>
      <c r="B829" s="3" t="s">
        <v>24</v>
      </c>
      <c r="C829" s="3" t="s">
        <v>35</v>
      </c>
      <c r="D829" s="3" t="s">
        <v>36</v>
      </c>
      <c r="E829" s="3" t="s">
        <v>33</v>
      </c>
      <c r="F829" s="3" t="s">
        <v>89</v>
      </c>
      <c r="G829" s="3">
        <v>2016</v>
      </c>
      <c r="H829" s="3" t="str">
        <f>CONCATENATE("64210611287")</f>
        <v>64210611287</v>
      </c>
      <c r="I829" s="3" t="s">
        <v>25</v>
      </c>
      <c r="J829" s="3" t="s">
        <v>26</v>
      </c>
      <c r="K829" s="3" t="str">
        <f t="shared" si="32"/>
        <v/>
      </c>
      <c r="L829" s="3" t="str">
        <f>CONCATENATE("13 13.1 4a")</f>
        <v>13 13.1 4a</v>
      </c>
      <c r="M829" s="3" t="str">
        <f>CONCATENATE("DSNRFL63C15F570T")</f>
        <v>DSNRFL63C15F570T</v>
      </c>
      <c r="N829" s="3" t="s">
        <v>933</v>
      </c>
      <c r="O829" s="3"/>
      <c r="P829" s="4">
        <v>42783</v>
      </c>
      <c r="Q829" s="3" t="s">
        <v>27</v>
      </c>
      <c r="R829" s="3" t="s">
        <v>28</v>
      </c>
      <c r="S829" s="3" t="s">
        <v>29</v>
      </c>
      <c r="T829" s="3">
        <v>762.52</v>
      </c>
      <c r="U829" s="3">
        <v>328.8</v>
      </c>
      <c r="V829" s="3">
        <v>303.64</v>
      </c>
      <c r="W829" s="3">
        <v>130.08000000000001</v>
      </c>
    </row>
    <row r="830" spans="1:23" ht="60.75">
      <c r="A830" s="3" t="s">
        <v>23</v>
      </c>
      <c r="B830" s="3" t="s">
        <v>24</v>
      </c>
      <c r="C830" s="3" t="s">
        <v>35</v>
      </c>
      <c r="D830" s="3" t="s">
        <v>39</v>
      </c>
      <c r="E830" s="3" t="s">
        <v>30</v>
      </c>
      <c r="F830" s="3" t="s">
        <v>40</v>
      </c>
      <c r="G830" s="3">
        <v>2016</v>
      </c>
      <c r="H830" s="3" t="str">
        <f>CONCATENATE("64240500435")</f>
        <v>64240500435</v>
      </c>
      <c r="I830" s="3" t="s">
        <v>25</v>
      </c>
      <c r="J830" s="3" t="s">
        <v>26</v>
      </c>
      <c r="K830" s="3" t="str">
        <f t="shared" si="32"/>
        <v/>
      </c>
      <c r="L830" s="3" t="str">
        <f>CONCATENATE("10 10.1 4a")</f>
        <v>10 10.1 4a</v>
      </c>
      <c r="M830" s="3" t="str">
        <f>CONCATENATE("SCCNDR88D23E388H")</f>
        <v>SCCNDR88D23E388H</v>
      </c>
      <c r="N830" s="3" t="s">
        <v>934</v>
      </c>
      <c r="O830" s="3"/>
      <c r="P830" s="4">
        <v>42783</v>
      </c>
      <c r="Q830" s="3" t="s">
        <v>27</v>
      </c>
      <c r="R830" s="3" t="s">
        <v>28</v>
      </c>
      <c r="S830" s="3" t="s">
        <v>29</v>
      </c>
      <c r="T830" s="3">
        <v>941.8</v>
      </c>
      <c r="U830" s="3">
        <v>406.1</v>
      </c>
      <c r="V830" s="3">
        <v>375.02</v>
      </c>
      <c r="W830" s="3">
        <v>160.68</v>
      </c>
    </row>
    <row r="831" spans="1:23" ht="60.75">
      <c r="A831" s="3" t="s">
        <v>23</v>
      </c>
      <c r="B831" s="3" t="s">
        <v>24</v>
      </c>
      <c r="C831" s="3" t="s">
        <v>35</v>
      </c>
      <c r="D831" s="3" t="s">
        <v>48</v>
      </c>
      <c r="E831" s="3" t="s">
        <v>30</v>
      </c>
      <c r="F831" s="3" t="s">
        <v>61</v>
      </c>
      <c r="G831" s="3">
        <v>2016</v>
      </c>
      <c r="H831" s="3" t="str">
        <f>CONCATENATE("64240806931")</f>
        <v>64240806931</v>
      </c>
      <c r="I831" s="3" t="s">
        <v>25</v>
      </c>
      <c r="J831" s="3" t="s">
        <v>26</v>
      </c>
      <c r="K831" s="3" t="str">
        <f t="shared" si="32"/>
        <v/>
      </c>
      <c r="L831" s="3" t="str">
        <f>CONCATENATE("11 11.1 4b")</f>
        <v>11 11.1 4b</v>
      </c>
      <c r="M831" s="3" t="str">
        <f>CONCATENATE("BSGJNP89L54Z602M")</f>
        <v>BSGJNP89L54Z602M</v>
      </c>
      <c r="N831" s="3" t="s">
        <v>320</v>
      </c>
      <c r="O831" s="3"/>
      <c r="P831" s="4">
        <v>42783</v>
      </c>
      <c r="Q831" s="3" t="s">
        <v>27</v>
      </c>
      <c r="R831" s="3" t="s">
        <v>28</v>
      </c>
      <c r="S831" s="3" t="s">
        <v>29</v>
      </c>
      <c r="T831" s="5">
        <v>1469.75</v>
      </c>
      <c r="U831" s="3">
        <v>633.76</v>
      </c>
      <c r="V831" s="3">
        <v>585.25</v>
      </c>
      <c r="W831" s="3">
        <v>250.74</v>
      </c>
    </row>
    <row r="832" spans="1:23" ht="60.75">
      <c r="A832" s="3" t="s">
        <v>23</v>
      </c>
      <c r="B832" s="3" t="s">
        <v>24</v>
      </c>
      <c r="C832" s="3" t="s">
        <v>35</v>
      </c>
      <c r="D832" s="3" t="s">
        <v>43</v>
      </c>
      <c r="E832" s="3" t="s">
        <v>49</v>
      </c>
      <c r="F832" s="3" t="s">
        <v>276</v>
      </c>
      <c r="G832" s="3">
        <v>2016</v>
      </c>
      <c r="H832" s="3" t="str">
        <f>CONCATENATE("64240645529")</f>
        <v>64240645529</v>
      </c>
      <c r="I832" s="3" t="s">
        <v>25</v>
      </c>
      <c r="J832" s="3" t="s">
        <v>26</v>
      </c>
      <c r="K832" s="3" t="str">
        <f t="shared" si="32"/>
        <v/>
      </c>
      <c r="L832" s="3" t="str">
        <f>CONCATENATE("10 10.1 4a")</f>
        <v>10 10.1 4a</v>
      </c>
      <c r="M832" s="3" t="str">
        <f>CONCATENATE("MRCMHL71L12G479V")</f>
        <v>MRCMHL71L12G479V</v>
      </c>
      <c r="N832" s="3" t="s">
        <v>277</v>
      </c>
      <c r="O832" s="3"/>
      <c r="P832" s="4">
        <v>42783</v>
      </c>
      <c r="Q832" s="3" t="s">
        <v>27</v>
      </c>
      <c r="R832" s="3" t="s">
        <v>28</v>
      </c>
      <c r="S832" s="3" t="s">
        <v>29</v>
      </c>
      <c r="T832" s="3">
        <v>661.07</v>
      </c>
      <c r="U832" s="3">
        <v>285.05</v>
      </c>
      <c r="V832" s="3">
        <v>263.24</v>
      </c>
      <c r="W832" s="3">
        <v>112.78</v>
      </c>
    </row>
    <row r="833" spans="1:23" ht="72.75">
      <c r="A833" s="3" t="s">
        <v>23</v>
      </c>
      <c r="B833" s="3" t="s">
        <v>24</v>
      </c>
      <c r="C833" s="3" t="s">
        <v>35</v>
      </c>
      <c r="D833" s="3" t="s">
        <v>36</v>
      </c>
      <c r="E833" s="3" t="s">
        <v>42</v>
      </c>
      <c r="F833" s="3" t="s">
        <v>42</v>
      </c>
      <c r="G833" s="3">
        <v>2016</v>
      </c>
      <c r="H833" s="3" t="str">
        <f>CONCATENATE("64240186755")</f>
        <v>64240186755</v>
      </c>
      <c r="I833" s="3" t="s">
        <v>25</v>
      </c>
      <c r="J833" s="3" t="s">
        <v>26</v>
      </c>
      <c r="K833" s="3" t="str">
        <f t="shared" si="32"/>
        <v/>
      </c>
      <c r="L833" s="3" t="str">
        <f>CONCATENATE("11 11.2 4b")</f>
        <v>11 11.2 4b</v>
      </c>
      <c r="M833" s="3" t="str">
        <f>CONCATENATE("MRNNNA59D54G005V")</f>
        <v>MRNNNA59D54G005V</v>
      </c>
      <c r="N833" s="3" t="s">
        <v>935</v>
      </c>
      <c r="O833" s="3"/>
      <c r="P833" s="4">
        <v>42783</v>
      </c>
      <c r="Q833" s="3" t="s">
        <v>27</v>
      </c>
      <c r="R833" s="3" t="s">
        <v>28</v>
      </c>
      <c r="S833" s="3" t="s">
        <v>29</v>
      </c>
      <c r="T833" s="5">
        <v>1213.32</v>
      </c>
      <c r="U833" s="3">
        <v>523.17999999999995</v>
      </c>
      <c r="V833" s="3">
        <v>483.14</v>
      </c>
      <c r="W833" s="3">
        <v>207</v>
      </c>
    </row>
    <row r="834" spans="1:23" ht="60.75">
      <c r="A834" s="3" t="s">
        <v>23</v>
      </c>
      <c r="B834" s="3" t="s">
        <v>24</v>
      </c>
      <c r="C834" s="3" t="s">
        <v>35</v>
      </c>
      <c r="D834" s="3" t="s">
        <v>36</v>
      </c>
      <c r="E834" s="3" t="s">
        <v>32</v>
      </c>
      <c r="F834" s="3" t="s">
        <v>208</v>
      </c>
      <c r="G834" s="3">
        <v>2016</v>
      </c>
      <c r="H834" s="3" t="str">
        <f>CONCATENATE("64240236899")</f>
        <v>64240236899</v>
      </c>
      <c r="I834" s="3" t="s">
        <v>25</v>
      </c>
      <c r="J834" s="3" t="s">
        <v>26</v>
      </c>
      <c r="K834" s="3" t="str">
        <f t="shared" si="32"/>
        <v/>
      </c>
      <c r="L834" s="3" t="str">
        <f>CONCATENATE("11 11.2 4b")</f>
        <v>11 11.2 4b</v>
      </c>
      <c r="M834" s="3" t="str">
        <f>CONCATENATE("CPRLNE63D49I912S")</f>
        <v>CPRLNE63D49I912S</v>
      </c>
      <c r="N834" s="3" t="s">
        <v>936</v>
      </c>
      <c r="O834" s="3"/>
      <c r="P834" s="4">
        <v>42783</v>
      </c>
      <c r="Q834" s="3" t="s">
        <v>27</v>
      </c>
      <c r="R834" s="3" t="s">
        <v>28</v>
      </c>
      <c r="S834" s="3" t="s">
        <v>29</v>
      </c>
      <c r="T834" s="5">
        <v>2848.88</v>
      </c>
      <c r="U834" s="5">
        <v>1228.44</v>
      </c>
      <c r="V834" s="5">
        <v>1134.42</v>
      </c>
      <c r="W834" s="3">
        <v>486.02</v>
      </c>
    </row>
    <row r="835" spans="1:23" ht="60.75">
      <c r="A835" s="3" t="s">
        <v>23</v>
      </c>
      <c r="B835" s="3" t="s">
        <v>24</v>
      </c>
      <c r="C835" s="3" t="s">
        <v>35</v>
      </c>
      <c r="D835" s="3" t="s">
        <v>39</v>
      </c>
      <c r="E835" s="3" t="s">
        <v>30</v>
      </c>
      <c r="F835" s="3" t="s">
        <v>84</v>
      </c>
      <c r="G835" s="3">
        <v>2016</v>
      </c>
      <c r="H835" s="3" t="str">
        <f>CONCATENATE("64210259087")</f>
        <v>64210259087</v>
      </c>
      <c r="I835" s="3" t="s">
        <v>25</v>
      </c>
      <c r="J835" s="3" t="s">
        <v>26</v>
      </c>
      <c r="K835" s="3" t="str">
        <f t="shared" si="32"/>
        <v/>
      </c>
      <c r="L835" s="3" t="str">
        <f>CONCATENATE("13 13.1 4a")</f>
        <v>13 13.1 4a</v>
      </c>
      <c r="M835" s="3" t="str">
        <f>CONCATENATE("FRRQNT38M03I653M")</f>
        <v>FRRQNT38M03I653M</v>
      </c>
      <c r="N835" s="3" t="s">
        <v>937</v>
      </c>
      <c r="O835" s="3"/>
      <c r="P835" s="4">
        <v>42783</v>
      </c>
      <c r="Q835" s="3" t="s">
        <v>27</v>
      </c>
      <c r="R835" s="3" t="s">
        <v>28</v>
      </c>
      <c r="S835" s="3" t="s">
        <v>29</v>
      </c>
      <c r="T835" s="5">
        <v>1013.23</v>
      </c>
      <c r="U835" s="3">
        <v>436.9</v>
      </c>
      <c r="V835" s="3">
        <v>403.47</v>
      </c>
      <c r="W835" s="3">
        <v>172.86</v>
      </c>
    </row>
    <row r="836" spans="1:23" ht="72.75">
      <c r="A836" s="3" t="s">
        <v>23</v>
      </c>
      <c r="B836" s="3" t="s">
        <v>24</v>
      </c>
      <c r="C836" s="3" t="s">
        <v>35</v>
      </c>
      <c r="D836" s="3" t="s">
        <v>39</v>
      </c>
      <c r="E836" s="3" t="s">
        <v>30</v>
      </c>
      <c r="F836" s="3" t="s">
        <v>84</v>
      </c>
      <c r="G836" s="3">
        <v>2016</v>
      </c>
      <c r="H836" s="3" t="str">
        <f>CONCATENATE("64240735098")</f>
        <v>64240735098</v>
      </c>
      <c r="I836" s="3" t="s">
        <v>25</v>
      </c>
      <c r="J836" s="3" t="s">
        <v>26</v>
      </c>
      <c r="K836" s="3" t="str">
        <f t="shared" si="32"/>
        <v/>
      </c>
      <c r="L836" s="3" t="str">
        <f t="shared" ref="L836:L841" si="33">CONCATENATE("11 11.2 4b")</f>
        <v>11 11.2 4b</v>
      </c>
      <c r="M836" s="3" t="str">
        <f>CONCATENATE("GMBNNA62D66D211K")</f>
        <v>GMBNNA62D66D211K</v>
      </c>
      <c r="N836" s="3" t="s">
        <v>938</v>
      </c>
      <c r="O836" s="3"/>
      <c r="P836" s="4">
        <v>42783</v>
      </c>
      <c r="Q836" s="3" t="s">
        <v>27</v>
      </c>
      <c r="R836" s="3" t="s">
        <v>28</v>
      </c>
      <c r="S836" s="3" t="s">
        <v>29</v>
      </c>
      <c r="T836" s="5">
        <v>3085.06</v>
      </c>
      <c r="U836" s="5">
        <v>1330.28</v>
      </c>
      <c r="V836" s="5">
        <v>1228.47</v>
      </c>
      <c r="W836" s="3">
        <v>526.30999999999995</v>
      </c>
    </row>
    <row r="837" spans="1:23" ht="60.75">
      <c r="A837" s="3" t="s">
        <v>23</v>
      </c>
      <c r="B837" s="3" t="s">
        <v>24</v>
      </c>
      <c r="C837" s="3" t="s">
        <v>35</v>
      </c>
      <c r="D837" s="3" t="s">
        <v>36</v>
      </c>
      <c r="E837" s="3" t="s">
        <v>33</v>
      </c>
      <c r="F837" s="3" t="s">
        <v>192</v>
      </c>
      <c r="G837" s="3">
        <v>2016</v>
      </c>
      <c r="H837" s="3" t="str">
        <f>CONCATENATE("64240512315")</f>
        <v>64240512315</v>
      </c>
      <c r="I837" s="3" t="s">
        <v>25</v>
      </c>
      <c r="J837" s="3" t="s">
        <v>26</v>
      </c>
      <c r="K837" s="3" t="str">
        <f t="shared" si="32"/>
        <v/>
      </c>
      <c r="L837" s="3" t="str">
        <f t="shared" si="33"/>
        <v>11 11.2 4b</v>
      </c>
      <c r="M837" s="3" t="str">
        <f>CONCATENATE("LCNNTN36B09D096Y")</f>
        <v>LCNNTN36B09D096Y</v>
      </c>
      <c r="N837" s="3" t="s">
        <v>939</v>
      </c>
      <c r="O837" s="3"/>
      <c r="P837" s="4">
        <v>42783</v>
      </c>
      <c r="Q837" s="3" t="s">
        <v>27</v>
      </c>
      <c r="R837" s="3" t="s">
        <v>28</v>
      </c>
      <c r="S837" s="3" t="s">
        <v>29</v>
      </c>
      <c r="T837" s="5">
        <v>2767.02</v>
      </c>
      <c r="U837" s="5">
        <v>1193.1400000000001</v>
      </c>
      <c r="V837" s="5">
        <v>1101.83</v>
      </c>
      <c r="W837" s="3">
        <v>472.05</v>
      </c>
    </row>
    <row r="838" spans="1:23" ht="60.75">
      <c r="A838" s="3" t="s">
        <v>23</v>
      </c>
      <c r="B838" s="3" t="s">
        <v>24</v>
      </c>
      <c r="C838" s="3" t="s">
        <v>35</v>
      </c>
      <c r="D838" s="3" t="s">
        <v>36</v>
      </c>
      <c r="E838" s="3" t="s">
        <v>33</v>
      </c>
      <c r="F838" s="3" t="s">
        <v>192</v>
      </c>
      <c r="G838" s="3">
        <v>2016</v>
      </c>
      <c r="H838" s="3" t="str">
        <f>CONCATENATE("64240632485")</f>
        <v>64240632485</v>
      </c>
      <c r="I838" s="3" t="s">
        <v>25</v>
      </c>
      <c r="J838" s="3" t="s">
        <v>26</v>
      </c>
      <c r="K838" s="3" t="str">
        <f t="shared" si="32"/>
        <v/>
      </c>
      <c r="L838" s="3" t="str">
        <f t="shared" si="33"/>
        <v>11 11.2 4b</v>
      </c>
      <c r="M838" s="3" t="str">
        <f>CONCATENATE("SNTRTI60T69A462Y")</f>
        <v>SNTRTI60T69A462Y</v>
      </c>
      <c r="N838" s="3" t="s">
        <v>940</v>
      </c>
      <c r="O838" s="3"/>
      <c r="P838" s="4">
        <v>42783</v>
      </c>
      <c r="Q838" s="3" t="s">
        <v>27</v>
      </c>
      <c r="R838" s="3" t="s">
        <v>28</v>
      </c>
      <c r="S838" s="3" t="s">
        <v>29</v>
      </c>
      <c r="T838" s="5">
        <v>3402.48</v>
      </c>
      <c r="U838" s="5">
        <v>1467.15</v>
      </c>
      <c r="V838" s="5">
        <v>1354.87</v>
      </c>
      <c r="W838" s="3">
        <v>580.46</v>
      </c>
    </row>
    <row r="839" spans="1:23" ht="60.75">
      <c r="A839" s="3" t="s">
        <v>23</v>
      </c>
      <c r="B839" s="3" t="s">
        <v>24</v>
      </c>
      <c r="C839" s="3" t="s">
        <v>35</v>
      </c>
      <c r="D839" s="3" t="s">
        <v>36</v>
      </c>
      <c r="E839" s="3" t="s">
        <v>30</v>
      </c>
      <c r="F839" s="3" t="s">
        <v>86</v>
      </c>
      <c r="G839" s="3">
        <v>2016</v>
      </c>
      <c r="H839" s="3" t="str">
        <f>CONCATENATE("64240311312")</f>
        <v>64240311312</v>
      </c>
      <c r="I839" s="3" t="s">
        <v>25</v>
      </c>
      <c r="J839" s="3" t="s">
        <v>26</v>
      </c>
      <c r="K839" s="3" t="str">
        <f t="shared" si="32"/>
        <v/>
      </c>
      <c r="L839" s="3" t="str">
        <f t="shared" si="33"/>
        <v>11 11.2 4b</v>
      </c>
      <c r="M839" s="3" t="str">
        <f>CONCATENATE("MLACRL56S23C331Z")</f>
        <v>MLACRL56S23C331Z</v>
      </c>
      <c r="N839" s="3" t="s">
        <v>941</v>
      </c>
      <c r="O839" s="3"/>
      <c r="P839" s="4">
        <v>42783</v>
      </c>
      <c r="Q839" s="3" t="s">
        <v>27</v>
      </c>
      <c r="R839" s="3" t="s">
        <v>28</v>
      </c>
      <c r="S839" s="3" t="s">
        <v>29</v>
      </c>
      <c r="T839" s="5">
        <v>1986.28</v>
      </c>
      <c r="U839" s="3">
        <v>856.48</v>
      </c>
      <c r="V839" s="3">
        <v>790.94</v>
      </c>
      <c r="W839" s="3">
        <v>338.86</v>
      </c>
    </row>
    <row r="840" spans="1:23" ht="72.75">
      <c r="A840" s="3" t="s">
        <v>23</v>
      </c>
      <c r="B840" s="3" t="s">
        <v>24</v>
      </c>
      <c r="C840" s="3" t="s">
        <v>35</v>
      </c>
      <c r="D840" s="3" t="s">
        <v>39</v>
      </c>
      <c r="E840" s="3" t="s">
        <v>32</v>
      </c>
      <c r="F840" s="3" t="s">
        <v>69</v>
      </c>
      <c r="G840" s="3">
        <v>2016</v>
      </c>
      <c r="H840" s="3" t="str">
        <f>CONCATENATE("64240605507")</f>
        <v>64240605507</v>
      </c>
      <c r="I840" s="3" t="s">
        <v>25</v>
      </c>
      <c r="J840" s="3" t="s">
        <v>26</v>
      </c>
      <c r="K840" s="3" t="str">
        <f t="shared" si="32"/>
        <v/>
      </c>
      <c r="L840" s="3" t="str">
        <f t="shared" si="33"/>
        <v>11 11.2 4b</v>
      </c>
      <c r="M840" s="3" t="str">
        <f>CONCATENATE("MNRDVD95H22I608R")</f>
        <v>MNRDVD95H22I608R</v>
      </c>
      <c r="N840" s="3" t="s">
        <v>942</v>
      </c>
      <c r="O840" s="3"/>
      <c r="P840" s="4">
        <v>42783</v>
      </c>
      <c r="Q840" s="3" t="s">
        <v>27</v>
      </c>
      <c r="R840" s="3" t="s">
        <v>28</v>
      </c>
      <c r="S840" s="3" t="s">
        <v>29</v>
      </c>
      <c r="T840" s="5">
        <v>3781.97</v>
      </c>
      <c r="U840" s="5">
        <v>1630.79</v>
      </c>
      <c r="V840" s="5">
        <v>1505.98</v>
      </c>
      <c r="W840" s="3">
        <v>645.20000000000005</v>
      </c>
    </row>
    <row r="841" spans="1:23" ht="60.75">
      <c r="A841" s="3" t="s">
        <v>23</v>
      </c>
      <c r="B841" s="3" t="s">
        <v>24</v>
      </c>
      <c r="C841" s="3" t="s">
        <v>35</v>
      </c>
      <c r="D841" s="3" t="s">
        <v>39</v>
      </c>
      <c r="E841" s="3" t="s">
        <v>32</v>
      </c>
      <c r="F841" s="3" t="s">
        <v>69</v>
      </c>
      <c r="G841" s="3">
        <v>2016</v>
      </c>
      <c r="H841" s="3" t="str">
        <f>CONCATENATE("64240502423")</f>
        <v>64240502423</v>
      </c>
      <c r="I841" s="3" t="s">
        <v>25</v>
      </c>
      <c r="J841" s="3" t="s">
        <v>26</v>
      </c>
      <c r="K841" s="3" t="str">
        <f t="shared" si="32"/>
        <v/>
      </c>
      <c r="L841" s="3" t="str">
        <f t="shared" si="33"/>
        <v>11 11.2 4b</v>
      </c>
      <c r="M841" s="3" t="str">
        <f>CONCATENATE("CPRPRZ70S67F704D")</f>
        <v>CPRPRZ70S67F704D</v>
      </c>
      <c r="N841" s="3" t="s">
        <v>943</v>
      </c>
      <c r="O841" s="3"/>
      <c r="P841" s="4">
        <v>42783</v>
      </c>
      <c r="Q841" s="3" t="s">
        <v>27</v>
      </c>
      <c r="R841" s="3" t="s">
        <v>28</v>
      </c>
      <c r="S841" s="3" t="s">
        <v>29</v>
      </c>
      <c r="T841" s="5">
        <v>1176.93</v>
      </c>
      <c r="U841" s="3">
        <v>507.49</v>
      </c>
      <c r="V841" s="3">
        <v>468.65</v>
      </c>
      <c r="W841" s="3">
        <v>200.79</v>
      </c>
    </row>
    <row r="842" spans="1:23" ht="72.75">
      <c r="A842" s="3" t="s">
        <v>23</v>
      </c>
      <c r="B842" s="3" t="s">
        <v>24</v>
      </c>
      <c r="C842" s="3" t="s">
        <v>35</v>
      </c>
      <c r="D842" s="3" t="s">
        <v>43</v>
      </c>
      <c r="E842" s="3" t="s">
        <v>30</v>
      </c>
      <c r="F842" s="3" t="s">
        <v>113</v>
      </c>
      <c r="G842" s="3">
        <v>2016</v>
      </c>
      <c r="H842" s="3" t="str">
        <f>CONCATENATE("64210659427")</f>
        <v>64210659427</v>
      </c>
      <c r="I842" s="3" t="s">
        <v>25</v>
      </c>
      <c r="J842" s="3" t="s">
        <v>26</v>
      </c>
      <c r="K842" s="3" t="str">
        <f t="shared" si="32"/>
        <v/>
      </c>
      <c r="L842" s="3" t="str">
        <f>CONCATENATE("13 13.1 4a")</f>
        <v>13 13.1 4a</v>
      </c>
      <c r="M842" s="3" t="str">
        <f>CONCATENATE("CNCPTR43H29A327R")</f>
        <v>CNCPTR43H29A327R</v>
      </c>
      <c r="N842" s="3" t="s">
        <v>944</v>
      </c>
      <c r="O842" s="3"/>
      <c r="P842" s="4">
        <v>42783</v>
      </c>
      <c r="Q842" s="3" t="s">
        <v>27</v>
      </c>
      <c r="R842" s="3" t="s">
        <v>28</v>
      </c>
      <c r="S842" s="3" t="s">
        <v>29</v>
      </c>
      <c r="T842" s="5">
        <v>1774.74</v>
      </c>
      <c r="U842" s="3">
        <v>765.27</v>
      </c>
      <c r="V842" s="3">
        <v>706.7</v>
      </c>
      <c r="W842" s="3">
        <v>302.77</v>
      </c>
    </row>
    <row r="843" spans="1:23" ht="60.75">
      <c r="A843" s="3" t="s">
        <v>23</v>
      </c>
      <c r="B843" s="3" t="s">
        <v>24</v>
      </c>
      <c r="C843" s="3" t="s">
        <v>35</v>
      </c>
      <c r="D843" s="3" t="s">
        <v>36</v>
      </c>
      <c r="E843" s="3" t="s">
        <v>42</v>
      </c>
      <c r="F843" s="3" t="s">
        <v>42</v>
      </c>
      <c r="G843" s="3">
        <v>2016</v>
      </c>
      <c r="H843" s="3" t="str">
        <f>CONCATENATE("64240483657")</f>
        <v>64240483657</v>
      </c>
      <c r="I843" s="3" t="s">
        <v>25</v>
      </c>
      <c r="J843" s="3" t="s">
        <v>26</v>
      </c>
      <c r="K843" s="3" t="str">
        <f t="shared" si="32"/>
        <v/>
      </c>
      <c r="L843" s="3" t="str">
        <f>CONCATENATE("11 11.2 4b")</f>
        <v>11 11.2 4b</v>
      </c>
      <c r="M843" s="3" t="str">
        <f>CONCATENATE("MRCDNC71D16H321S")</f>
        <v>MRCDNC71D16H321S</v>
      </c>
      <c r="N843" s="3" t="s">
        <v>945</v>
      </c>
      <c r="O843" s="3"/>
      <c r="P843" s="4">
        <v>42783</v>
      </c>
      <c r="Q843" s="3" t="s">
        <v>27</v>
      </c>
      <c r="R843" s="3" t="s">
        <v>28</v>
      </c>
      <c r="S843" s="3" t="s">
        <v>29</v>
      </c>
      <c r="T843" s="5">
        <v>5094.32</v>
      </c>
      <c r="U843" s="5">
        <v>2196.67</v>
      </c>
      <c r="V843" s="5">
        <v>2028.56</v>
      </c>
      <c r="W843" s="3">
        <v>869.09</v>
      </c>
    </row>
    <row r="844" spans="1:23" ht="36.75">
      <c r="A844" s="3" t="s">
        <v>23</v>
      </c>
      <c r="B844" s="3" t="s">
        <v>24</v>
      </c>
      <c r="C844" s="3" t="s">
        <v>35</v>
      </c>
      <c r="D844" s="3" t="s">
        <v>39</v>
      </c>
      <c r="E844" s="3" t="s">
        <v>30</v>
      </c>
      <c r="F844" s="3" t="s">
        <v>285</v>
      </c>
      <c r="G844" s="3">
        <v>2016</v>
      </c>
      <c r="H844" s="3" t="str">
        <f>CONCATENATE("64240578522")</f>
        <v>64240578522</v>
      </c>
      <c r="I844" s="3" t="s">
        <v>25</v>
      </c>
      <c r="J844" s="3" t="s">
        <v>26</v>
      </c>
      <c r="K844" s="3" t="str">
        <f t="shared" si="32"/>
        <v/>
      </c>
      <c r="L844" s="3" t="str">
        <f>CONCATENATE("11 11.2 4b")</f>
        <v>11 11.2 4b</v>
      </c>
      <c r="M844" s="3" t="str">
        <f>CONCATENATE("02556720429")</f>
        <v>02556720429</v>
      </c>
      <c r="N844" s="3" t="s">
        <v>946</v>
      </c>
      <c r="O844" s="3"/>
      <c r="P844" s="4">
        <v>42783</v>
      </c>
      <c r="Q844" s="3" t="s">
        <v>27</v>
      </c>
      <c r="R844" s="3" t="s">
        <v>28</v>
      </c>
      <c r="S844" s="3" t="s">
        <v>29</v>
      </c>
      <c r="T844" s="5">
        <v>2757.33</v>
      </c>
      <c r="U844" s="5">
        <v>1188.96</v>
      </c>
      <c r="V844" s="5">
        <v>1097.97</v>
      </c>
      <c r="W844" s="3">
        <v>470.4</v>
      </c>
    </row>
    <row r="845" spans="1:23" ht="60.75">
      <c r="A845" s="3" t="s">
        <v>23</v>
      </c>
      <c r="B845" s="3" t="s">
        <v>24</v>
      </c>
      <c r="C845" s="3" t="s">
        <v>35</v>
      </c>
      <c r="D845" s="3" t="s">
        <v>43</v>
      </c>
      <c r="E845" s="3" t="s">
        <v>30</v>
      </c>
      <c r="F845" s="3" t="s">
        <v>76</v>
      </c>
      <c r="G845" s="3">
        <v>2016</v>
      </c>
      <c r="H845" s="3" t="str">
        <f>CONCATENATE("64210139552")</f>
        <v>64210139552</v>
      </c>
      <c r="I845" s="3" t="s">
        <v>25</v>
      </c>
      <c r="J845" s="3" t="s">
        <v>26</v>
      </c>
      <c r="K845" s="3" t="str">
        <f t="shared" si="32"/>
        <v/>
      </c>
      <c r="L845" s="3" t="str">
        <f>CONCATENATE("13 13.1 4a")</f>
        <v>13 13.1 4a</v>
      </c>
      <c r="M845" s="3" t="str">
        <f>CONCATENATE("FBBGZN53S08I681E")</f>
        <v>FBBGZN53S08I681E</v>
      </c>
      <c r="N845" s="3" t="s">
        <v>947</v>
      </c>
      <c r="O845" s="3"/>
      <c r="P845" s="4">
        <v>42783</v>
      </c>
      <c r="Q845" s="3" t="s">
        <v>27</v>
      </c>
      <c r="R845" s="3" t="s">
        <v>28</v>
      </c>
      <c r="S845" s="3" t="s">
        <v>29</v>
      </c>
      <c r="T845" s="5">
        <v>3012.02</v>
      </c>
      <c r="U845" s="5">
        <v>1298.78</v>
      </c>
      <c r="V845" s="5">
        <v>1199.3900000000001</v>
      </c>
      <c r="W845" s="3">
        <v>513.85</v>
      </c>
    </row>
    <row r="846" spans="1:23" ht="72.75">
      <c r="A846" s="3" t="s">
        <v>23</v>
      </c>
      <c r="B846" s="3" t="s">
        <v>24</v>
      </c>
      <c r="C846" s="3" t="s">
        <v>35</v>
      </c>
      <c r="D846" s="3" t="s">
        <v>48</v>
      </c>
      <c r="E846" s="3" t="s">
        <v>34</v>
      </c>
      <c r="F846" s="3" t="s">
        <v>141</v>
      </c>
      <c r="G846" s="3">
        <v>2016</v>
      </c>
      <c r="H846" s="3" t="str">
        <f>CONCATENATE("64240735676")</f>
        <v>64240735676</v>
      </c>
      <c r="I846" s="3" t="s">
        <v>25</v>
      </c>
      <c r="J846" s="3" t="s">
        <v>26</v>
      </c>
      <c r="K846" s="3" t="str">
        <f t="shared" si="32"/>
        <v/>
      </c>
      <c r="L846" s="3" t="str">
        <f>CONCATENATE("11 11.2 4b")</f>
        <v>11 11.2 4b</v>
      </c>
      <c r="M846" s="3" t="str">
        <f>CONCATENATE("MROLBT84M61L366G")</f>
        <v>MROLBT84M61L366G</v>
      </c>
      <c r="N846" s="3" t="s">
        <v>948</v>
      </c>
      <c r="O846" s="3"/>
      <c r="P846" s="4">
        <v>42783</v>
      </c>
      <c r="Q846" s="3" t="s">
        <v>27</v>
      </c>
      <c r="R846" s="3" t="s">
        <v>28</v>
      </c>
      <c r="S846" s="3" t="s">
        <v>29</v>
      </c>
      <c r="T846" s="5">
        <v>3966.49</v>
      </c>
      <c r="U846" s="5">
        <v>1710.35</v>
      </c>
      <c r="V846" s="5">
        <v>1579.46</v>
      </c>
      <c r="W846" s="3">
        <v>676.68</v>
      </c>
    </row>
    <row r="847" spans="1:23" ht="60.75">
      <c r="A847" s="3" t="s">
        <v>23</v>
      </c>
      <c r="B847" s="3" t="s">
        <v>24</v>
      </c>
      <c r="C847" s="3" t="s">
        <v>35</v>
      </c>
      <c r="D847" s="3" t="s">
        <v>36</v>
      </c>
      <c r="E847" s="3" t="s">
        <v>30</v>
      </c>
      <c r="F847" s="3" t="s">
        <v>37</v>
      </c>
      <c r="G847" s="3">
        <v>2016</v>
      </c>
      <c r="H847" s="3" t="str">
        <f>CONCATENATE("64210329716")</f>
        <v>64210329716</v>
      </c>
      <c r="I847" s="3" t="s">
        <v>25</v>
      </c>
      <c r="J847" s="3" t="s">
        <v>26</v>
      </c>
      <c r="K847" s="3" t="str">
        <f t="shared" si="32"/>
        <v/>
      </c>
      <c r="L847" s="3" t="str">
        <f>CONCATENATE("13 13.1 4a")</f>
        <v>13 13.1 4a</v>
      </c>
      <c r="M847" s="3" t="str">
        <f>CONCATENATE("CRRGNN52R55F570G")</f>
        <v>CRRGNN52R55F570G</v>
      </c>
      <c r="N847" s="3" t="s">
        <v>949</v>
      </c>
      <c r="O847" s="3"/>
      <c r="P847" s="4">
        <v>42783</v>
      </c>
      <c r="Q847" s="3" t="s">
        <v>27</v>
      </c>
      <c r="R847" s="3" t="s">
        <v>28</v>
      </c>
      <c r="S847" s="3" t="s">
        <v>29</v>
      </c>
      <c r="T847" s="3">
        <v>460.84</v>
      </c>
      <c r="U847" s="3">
        <v>198.71</v>
      </c>
      <c r="V847" s="3">
        <v>183.51</v>
      </c>
      <c r="W847" s="3">
        <v>78.62</v>
      </c>
    </row>
    <row r="848" spans="1:23" ht="60.75">
      <c r="A848" s="3" t="s">
        <v>23</v>
      </c>
      <c r="B848" s="3" t="s">
        <v>24</v>
      </c>
      <c r="C848" s="3" t="s">
        <v>35</v>
      </c>
      <c r="D848" s="3" t="s">
        <v>36</v>
      </c>
      <c r="E848" s="3" t="s">
        <v>32</v>
      </c>
      <c r="F848" s="3" t="s">
        <v>179</v>
      </c>
      <c r="G848" s="3">
        <v>2016</v>
      </c>
      <c r="H848" s="3" t="str">
        <f>CONCATENATE("64240608923")</f>
        <v>64240608923</v>
      </c>
      <c r="I848" s="3" t="s">
        <v>25</v>
      </c>
      <c r="J848" s="3" t="s">
        <v>26</v>
      </c>
      <c r="K848" s="3" t="str">
        <f t="shared" si="32"/>
        <v/>
      </c>
      <c r="L848" s="3" t="str">
        <f>CONCATENATE("11 11.2 4b")</f>
        <v>11 11.2 4b</v>
      </c>
      <c r="M848" s="3" t="str">
        <f>CONCATENATE("LCNVCN75C03F241J")</f>
        <v>LCNVCN75C03F241J</v>
      </c>
      <c r="N848" s="3" t="s">
        <v>950</v>
      </c>
      <c r="O848" s="3"/>
      <c r="P848" s="4">
        <v>42783</v>
      </c>
      <c r="Q848" s="3" t="s">
        <v>27</v>
      </c>
      <c r="R848" s="3" t="s">
        <v>28</v>
      </c>
      <c r="S848" s="3" t="s">
        <v>29</v>
      </c>
      <c r="T848" s="5">
        <v>3726.66</v>
      </c>
      <c r="U848" s="5">
        <v>1606.94</v>
      </c>
      <c r="V848" s="5">
        <v>1483.96</v>
      </c>
      <c r="W848" s="3">
        <v>635.76</v>
      </c>
    </row>
    <row r="849" spans="1:23" ht="60.75">
      <c r="A849" s="3" t="s">
        <v>23</v>
      </c>
      <c r="B849" s="3" t="s">
        <v>24</v>
      </c>
      <c r="C849" s="3" t="s">
        <v>35</v>
      </c>
      <c r="D849" s="3" t="s">
        <v>39</v>
      </c>
      <c r="E849" s="3" t="s">
        <v>30</v>
      </c>
      <c r="F849" s="3" t="s">
        <v>40</v>
      </c>
      <c r="G849" s="3">
        <v>2016</v>
      </c>
      <c r="H849" s="3" t="str">
        <f>CONCATENATE("64240529848")</f>
        <v>64240529848</v>
      </c>
      <c r="I849" s="3" t="s">
        <v>25</v>
      </c>
      <c r="J849" s="3" t="s">
        <v>26</v>
      </c>
      <c r="K849" s="3" t="str">
        <f t="shared" si="32"/>
        <v/>
      </c>
      <c r="L849" s="3" t="str">
        <f>CONCATENATE("11 11.2 4b")</f>
        <v>11 11.2 4b</v>
      </c>
      <c r="M849" s="3" t="str">
        <f>CONCATENATE("LMNLTT70D52F453K")</f>
        <v>LMNLTT70D52F453K</v>
      </c>
      <c r="N849" s="3" t="s">
        <v>951</v>
      </c>
      <c r="O849" s="3"/>
      <c r="P849" s="4">
        <v>42783</v>
      </c>
      <c r="Q849" s="3" t="s">
        <v>27</v>
      </c>
      <c r="R849" s="3" t="s">
        <v>28</v>
      </c>
      <c r="S849" s="3" t="s">
        <v>29</v>
      </c>
      <c r="T849" s="5">
        <v>3373.05</v>
      </c>
      <c r="U849" s="5">
        <v>1454.46</v>
      </c>
      <c r="V849" s="5">
        <v>1343.15</v>
      </c>
      <c r="W849" s="3">
        <v>575.44000000000005</v>
      </c>
    </row>
    <row r="850" spans="1:23" ht="60.75">
      <c r="A850" s="3" t="s">
        <v>23</v>
      </c>
      <c r="B850" s="3" t="s">
        <v>24</v>
      </c>
      <c r="C850" s="3" t="s">
        <v>35</v>
      </c>
      <c r="D850" s="3" t="s">
        <v>43</v>
      </c>
      <c r="E850" s="3" t="s">
        <v>30</v>
      </c>
      <c r="F850" s="3" t="s">
        <v>76</v>
      </c>
      <c r="G850" s="3">
        <v>2016</v>
      </c>
      <c r="H850" s="3" t="str">
        <f>CONCATENATE("64210142499")</f>
        <v>64210142499</v>
      </c>
      <c r="I850" s="3" t="s">
        <v>25</v>
      </c>
      <c r="J850" s="3" t="s">
        <v>26</v>
      </c>
      <c r="K850" s="3" t="str">
        <f t="shared" si="32"/>
        <v/>
      </c>
      <c r="L850" s="3" t="str">
        <f>CONCATENATE("13 13.1 4a")</f>
        <v>13 13.1 4a</v>
      </c>
      <c r="M850" s="3" t="str">
        <f>CONCATENATE("SVRGPL72H28I459F")</f>
        <v>SVRGPL72H28I459F</v>
      </c>
      <c r="N850" s="3" t="s">
        <v>952</v>
      </c>
      <c r="O850" s="3"/>
      <c r="P850" s="4">
        <v>42783</v>
      </c>
      <c r="Q850" s="3" t="s">
        <v>27</v>
      </c>
      <c r="R850" s="3" t="s">
        <v>28</v>
      </c>
      <c r="S850" s="3" t="s">
        <v>29</v>
      </c>
      <c r="T850" s="5">
        <v>3328.06</v>
      </c>
      <c r="U850" s="5">
        <v>1435.06</v>
      </c>
      <c r="V850" s="5">
        <v>1325.23</v>
      </c>
      <c r="W850" s="3">
        <v>567.77</v>
      </c>
    </row>
    <row r="851" spans="1:23" ht="60.75">
      <c r="A851" s="3" t="s">
        <v>23</v>
      </c>
      <c r="B851" s="3" t="s">
        <v>24</v>
      </c>
      <c r="C851" s="3" t="s">
        <v>35</v>
      </c>
      <c r="D851" s="3" t="s">
        <v>36</v>
      </c>
      <c r="E851" s="3" t="s">
        <v>42</v>
      </c>
      <c r="F851" s="3" t="s">
        <v>42</v>
      </c>
      <c r="G851" s="3">
        <v>2016</v>
      </c>
      <c r="H851" s="3" t="str">
        <f>CONCATENATE("64240600730")</f>
        <v>64240600730</v>
      </c>
      <c r="I851" s="3" t="s">
        <v>25</v>
      </c>
      <c r="J851" s="3" t="s">
        <v>26</v>
      </c>
      <c r="K851" s="3" t="str">
        <f t="shared" si="32"/>
        <v/>
      </c>
      <c r="L851" s="3" t="str">
        <f>CONCATENATE("11 11.1 4b")</f>
        <v>11 11.1 4b</v>
      </c>
      <c r="M851" s="3" t="str">
        <f>CONCATENATE("DNGDNL79P18H769N")</f>
        <v>DNGDNL79P18H769N</v>
      </c>
      <c r="N851" s="3" t="s">
        <v>953</v>
      </c>
      <c r="O851" s="3"/>
      <c r="P851" s="4">
        <v>42783</v>
      </c>
      <c r="Q851" s="3" t="s">
        <v>27</v>
      </c>
      <c r="R851" s="3" t="s">
        <v>28</v>
      </c>
      <c r="S851" s="3" t="s">
        <v>29</v>
      </c>
      <c r="T851" s="5">
        <v>1675.4</v>
      </c>
      <c r="U851" s="3">
        <v>722.43</v>
      </c>
      <c r="V851" s="3">
        <v>667.14</v>
      </c>
      <c r="W851" s="3">
        <v>285.83</v>
      </c>
    </row>
    <row r="852" spans="1:23" ht="72.75">
      <c r="A852" s="3" t="s">
        <v>23</v>
      </c>
      <c r="B852" s="3" t="s">
        <v>24</v>
      </c>
      <c r="C852" s="3" t="s">
        <v>35</v>
      </c>
      <c r="D852" s="3" t="s">
        <v>39</v>
      </c>
      <c r="E852" s="3" t="s">
        <v>30</v>
      </c>
      <c r="F852" s="3" t="s">
        <v>84</v>
      </c>
      <c r="G852" s="3">
        <v>2016</v>
      </c>
      <c r="H852" s="3" t="str">
        <f>CONCATENATE("64210260663")</f>
        <v>64210260663</v>
      </c>
      <c r="I852" s="3" t="s">
        <v>25</v>
      </c>
      <c r="J852" s="3" t="s">
        <v>26</v>
      </c>
      <c r="K852" s="3" t="str">
        <f t="shared" si="32"/>
        <v/>
      </c>
      <c r="L852" s="3" t="str">
        <f>CONCATENATE("13 13.1 4a")</f>
        <v>13 13.1 4a</v>
      </c>
      <c r="M852" s="3" t="str">
        <f>CONCATENATE("CMPVTR52M11A329G")</f>
        <v>CMPVTR52M11A329G</v>
      </c>
      <c r="N852" s="3" t="s">
        <v>954</v>
      </c>
      <c r="O852" s="3"/>
      <c r="P852" s="4">
        <v>42783</v>
      </c>
      <c r="Q852" s="3" t="s">
        <v>27</v>
      </c>
      <c r="R852" s="3" t="s">
        <v>28</v>
      </c>
      <c r="S852" s="3" t="s">
        <v>29</v>
      </c>
      <c r="T852" s="3">
        <v>652.89</v>
      </c>
      <c r="U852" s="3">
        <v>281.52999999999997</v>
      </c>
      <c r="V852" s="3">
        <v>259.98</v>
      </c>
      <c r="W852" s="3">
        <v>111.38</v>
      </c>
    </row>
    <row r="853" spans="1:23" ht="36.75">
      <c r="A853" s="3" t="s">
        <v>23</v>
      </c>
      <c r="B853" s="3" t="s">
        <v>24</v>
      </c>
      <c r="C853" s="3" t="s">
        <v>35</v>
      </c>
      <c r="D853" s="3" t="s">
        <v>48</v>
      </c>
      <c r="E853" s="3" t="s">
        <v>30</v>
      </c>
      <c r="F853" s="3" t="s">
        <v>91</v>
      </c>
      <c r="G853" s="3">
        <v>2016</v>
      </c>
      <c r="H853" s="3" t="str">
        <f>CONCATENATE("64210494825")</f>
        <v>64210494825</v>
      </c>
      <c r="I853" s="3" t="s">
        <v>25</v>
      </c>
      <c r="J853" s="3" t="s">
        <v>26</v>
      </c>
      <c r="K853" s="3" t="str">
        <f t="shared" si="32"/>
        <v/>
      </c>
      <c r="L853" s="3" t="str">
        <f>CONCATENATE("13 13.1 4a")</f>
        <v>13 13.1 4a</v>
      </c>
      <c r="M853" s="3" t="str">
        <f>CONCATENATE("00409770435")</f>
        <v>00409770435</v>
      </c>
      <c r="N853" s="3" t="s">
        <v>955</v>
      </c>
      <c r="O853" s="3"/>
      <c r="P853" s="4">
        <v>42783</v>
      </c>
      <c r="Q853" s="3" t="s">
        <v>27</v>
      </c>
      <c r="R853" s="3" t="s">
        <v>28</v>
      </c>
      <c r="S853" s="3" t="s">
        <v>29</v>
      </c>
      <c r="T853" s="5">
        <v>3709.48</v>
      </c>
      <c r="U853" s="5">
        <v>1599.53</v>
      </c>
      <c r="V853" s="5">
        <v>1477.11</v>
      </c>
      <c r="W853" s="3">
        <v>632.84</v>
      </c>
    </row>
    <row r="854" spans="1:23" ht="36.75">
      <c r="A854" s="3" t="s">
        <v>23</v>
      </c>
      <c r="B854" s="3" t="s">
        <v>24</v>
      </c>
      <c r="C854" s="3" t="s">
        <v>35</v>
      </c>
      <c r="D854" s="3" t="s">
        <v>36</v>
      </c>
      <c r="E854" s="3" t="s">
        <v>42</v>
      </c>
      <c r="F854" s="3" t="s">
        <v>42</v>
      </c>
      <c r="G854" s="3">
        <v>2016</v>
      </c>
      <c r="H854" s="3" t="str">
        <f>CONCATENATE("64240537791")</f>
        <v>64240537791</v>
      </c>
      <c r="I854" s="3" t="s">
        <v>25</v>
      </c>
      <c r="J854" s="3" t="s">
        <v>26</v>
      </c>
      <c r="K854" s="3" t="str">
        <f t="shared" si="32"/>
        <v/>
      </c>
      <c r="L854" s="3" t="str">
        <f>CONCATENATE("11 11.2 4b")</f>
        <v>11 11.2 4b</v>
      </c>
      <c r="M854" s="3" t="str">
        <f>CONCATENATE("00125960443")</f>
        <v>00125960443</v>
      </c>
      <c r="N854" s="3" t="s">
        <v>956</v>
      </c>
      <c r="O854" s="3"/>
      <c r="P854" s="4">
        <v>42783</v>
      </c>
      <c r="Q854" s="3" t="s">
        <v>27</v>
      </c>
      <c r="R854" s="3" t="s">
        <v>28</v>
      </c>
      <c r="S854" s="3" t="s">
        <v>29</v>
      </c>
      <c r="T854" s="5">
        <v>27428.14</v>
      </c>
      <c r="U854" s="5">
        <v>11827.01</v>
      </c>
      <c r="V854" s="5">
        <v>10921.89</v>
      </c>
      <c r="W854" s="5">
        <v>4679.24</v>
      </c>
    </row>
    <row r="855" spans="1:23" ht="36.75">
      <c r="A855" s="3" t="s">
        <v>23</v>
      </c>
      <c r="B855" s="3" t="s">
        <v>24</v>
      </c>
      <c r="C855" s="3" t="s">
        <v>35</v>
      </c>
      <c r="D855" s="3" t="s">
        <v>48</v>
      </c>
      <c r="E855" s="3" t="s">
        <v>49</v>
      </c>
      <c r="F855" s="3" t="s">
        <v>50</v>
      </c>
      <c r="G855" s="3">
        <v>2016</v>
      </c>
      <c r="H855" s="3" t="str">
        <f>CONCATENATE("64240492971")</f>
        <v>64240492971</v>
      </c>
      <c r="I855" s="3" t="s">
        <v>25</v>
      </c>
      <c r="J855" s="3" t="s">
        <v>26</v>
      </c>
      <c r="K855" s="3" t="str">
        <f t="shared" si="32"/>
        <v/>
      </c>
      <c r="L855" s="3" t="str">
        <f>CONCATENATE("11 11.2 4b")</f>
        <v>11 11.2 4b</v>
      </c>
      <c r="M855" s="3" t="str">
        <f>CONCATENATE("00863530432")</f>
        <v>00863530432</v>
      </c>
      <c r="N855" s="3" t="s">
        <v>957</v>
      </c>
      <c r="O855" s="3"/>
      <c r="P855" s="4">
        <v>42783</v>
      </c>
      <c r="Q855" s="3" t="s">
        <v>27</v>
      </c>
      <c r="R855" s="3" t="s">
        <v>28</v>
      </c>
      <c r="S855" s="3" t="s">
        <v>29</v>
      </c>
      <c r="T855" s="5">
        <v>1660.42</v>
      </c>
      <c r="U855" s="3">
        <v>715.97</v>
      </c>
      <c r="V855" s="3">
        <v>661.18</v>
      </c>
      <c r="W855" s="3">
        <v>283.27</v>
      </c>
    </row>
    <row r="856" spans="1:23" ht="36.75">
      <c r="A856" s="3" t="s">
        <v>23</v>
      </c>
      <c r="B856" s="3" t="s">
        <v>24</v>
      </c>
      <c r="C856" s="3" t="s">
        <v>35</v>
      </c>
      <c r="D856" s="3" t="s">
        <v>48</v>
      </c>
      <c r="E856" s="3" t="s">
        <v>49</v>
      </c>
      <c r="F856" s="3" t="s">
        <v>50</v>
      </c>
      <c r="G856" s="3">
        <v>2016</v>
      </c>
      <c r="H856" s="3" t="str">
        <f>CONCATENATE("64240460911")</f>
        <v>64240460911</v>
      </c>
      <c r="I856" s="3" t="s">
        <v>25</v>
      </c>
      <c r="J856" s="3" t="s">
        <v>26</v>
      </c>
      <c r="K856" s="3" t="str">
        <f t="shared" si="32"/>
        <v/>
      </c>
      <c r="L856" s="3" t="str">
        <f>CONCATENATE("11 11.2 4b")</f>
        <v>11 11.2 4b</v>
      </c>
      <c r="M856" s="3" t="str">
        <f>CONCATENATE("00862220431")</f>
        <v>00862220431</v>
      </c>
      <c r="N856" s="3" t="s">
        <v>958</v>
      </c>
      <c r="O856" s="3"/>
      <c r="P856" s="4">
        <v>42783</v>
      </c>
      <c r="Q856" s="3" t="s">
        <v>27</v>
      </c>
      <c r="R856" s="3" t="s">
        <v>28</v>
      </c>
      <c r="S856" s="3" t="s">
        <v>29</v>
      </c>
      <c r="T856" s="5">
        <v>7168.15</v>
      </c>
      <c r="U856" s="5">
        <v>3090.91</v>
      </c>
      <c r="V856" s="5">
        <v>2854.36</v>
      </c>
      <c r="W856" s="5">
        <v>1222.8800000000001</v>
      </c>
    </row>
    <row r="857" spans="1:23" ht="60.75">
      <c r="A857" s="3" t="s">
        <v>23</v>
      </c>
      <c r="B857" s="3" t="s">
        <v>24</v>
      </c>
      <c r="C857" s="3" t="s">
        <v>35</v>
      </c>
      <c r="D857" s="3" t="s">
        <v>48</v>
      </c>
      <c r="E857" s="3" t="s">
        <v>30</v>
      </c>
      <c r="F857" s="3" t="s">
        <v>91</v>
      </c>
      <c r="G857" s="3">
        <v>2016</v>
      </c>
      <c r="H857" s="3" t="str">
        <f>CONCATENATE("64210511990")</f>
        <v>64210511990</v>
      </c>
      <c r="I857" s="3" t="s">
        <v>25</v>
      </c>
      <c r="J857" s="3" t="s">
        <v>26</v>
      </c>
      <c r="K857" s="3" t="str">
        <f t="shared" si="32"/>
        <v/>
      </c>
      <c r="L857" s="3" t="str">
        <f>CONCATENATE("13 13.1 4a")</f>
        <v>13 13.1 4a</v>
      </c>
      <c r="M857" s="3" t="str">
        <f>CONCATENATE("CRFMRA51M48M078T")</f>
        <v>CRFMRA51M48M078T</v>
      </c>
      <c r="N857" s="3" t="s">
        <v>959</v>
      </c>
      <c r="O857" s="3"/>
      <c r="P857" s="4">
        <v>42783</v>
      </c>
      <c r="Q857" s="3" t="s">
        <v>27</v>
      </c>
      <c r="R857" s="3" t="s">
        <v>28</v>
      </c>
      <c r="S857" s="3" t="s">
        <v>29</v>
      </c>
      <c r="T857" s="5">
        <v>4590</v>
      </c>
      <c r="U857" s="5">
        <v>1979.21</v>
      </c>
      <c r="V857" s="5">
        <v>1827.74</v>
      </c>
      <c r="W857" s="3">
        <v>783.05</v>
      </c>
    </row>
    <row r="858" spans="1:23" ht="60.75">
      <c r="A858" s="3" t="s">
        <v>23</v>
      </c>
      <c r="B858" s="3" t="s">
        <v>24</v>
      </c>
      <c r="C858" s="3" t="s">
        <v>35</v>
      </c>
      <c r="D858" s="3" t="s">
        <v>36</v>
      </c>
      <c r="E858" s="3" t="s">
        <v>42</v>
      </c>
      <c r="F858" s="3" t="s">
        <v>42</v>
      </c>
      <c r="G858" s="3">
        <v>2016</v>
      </c>
      <c r="H858" s="3" t="str">
        <f>CONCATENATE("64240860128")</f>
        <v>64240860128</v>
      </c>
      <c r="I858" s="3" t="s">
        <v>25</v>
      </c>
      <c r="J858" s="3" t="s">
        <v>26</v>
      </c>
      <c r="K858" s="3" t="str">
        <f t="shared" si="32"/>
        <v/>
      </c>
      <c r="L858" s="3" t="str">
        <f>CONCATENATE("10 10.1 4b")</f>
        <v>10 10.1 4b</v>
      </c>
      <c r="M858" s="3" t="str">
        <f>CONCATENATE("SPNSMN82S15H769M")</f>
        <v>SPNSMN82S15H769M</v>
      </c>
      <c r="N858" s="3" t="s">
        <v>960</v>
      </c>
      <c r="O858" s="3"/>
      <c r="P858" s="4">
        <v>42783</v>
      </c>
      <c r="Q858" s="3" t="s">
        <v>27</v>
      </c>
      <c r="R858" s="3" t="s">
        <v>28</v>
      </c>
      <c r="S858" s="3" t="s">
        <v>29</v>
      </c>
      <c r="T858" s="5">
        <v>2628.58</v>
      </c>
      <c r="U858" s="5">
        <v>1133.44</v>
      </c>
      <c r="V858" s="5">
        <v>1046.7</v>
      </c>
      <c r="W858" s="3">
        <v>448.44</v>
      </c>
    </row>
    <row r="859" spans="1:23" ht="60.75">
      <c r="A859" s="3" t="s">
        <v>23</v>
      </c>
      <c r="B859" s="3" t="s">
        <v>24</v>
      </c>
      <c r="C859" s="3" t="s">
        <v>35</v>
      </c>
      <c r="D859" s="3" t="s">
        <v>39</v>
      </c>
      <c r="E859" s="3" t="s">
        <v>30</v>
      </c>
      <c r="F859" s="3" t="s">
        <v>533</v>
      </c>
      <c r="G859" s="3">
        <v>2016</v>
      </c>
      <c r="H859" s="3" t="str">
        <f>CONCATENATE("64210926529")</f>
        <v>64210926529</v>
      </c>
      <c r="I859" s="3" t="s">
        <v>25</v>
      </c>
      <c r="J859" s="3" t="s">
        <v>26</v>
      </c>
      <c r="K859" s="3" t="str">
        <f t="shared" si="32"/>
        <v/>
      </c>
      <c r="L859" s="3" t="str">
        <f>CONCATENATE("13 13.1 4a")</f>
        <v>13 13.1 4a</v>
      </c>
      <c r="M859" s="3" t="str">
        <f>CONCATENATE("LSEVND55S54D965G")</f>
        <v>LSEVND55S54D965G</v>
      </c>
      <c r="N859" s="3" t="s">
        <v>961</v>
      </c>
      <c r="O859" s="3"/>
      <c r="P859" s="4">
        <v>42783</v>
      </c>
      <c r="Q859" s="3" t="s">
        <v>27</v>
      </c>
      <c r="R859" s="3" t="s">
        <v>28</v>
      </c>
      <c r="S859" s="3" t="s">
        <v>29</v>
      </c>
      <c r="T859" s="5">
        <v>2927.65</v>
      </c>
      <c r="U859" s="5">
        <v>1262.4000000000001</v>
      </c>
      <c r="V859" s="5">
        <v>1165.79</v>
      </c>
      <c r="W859" s="3">
        <v>499.46</v>
      </c>
    </row>
    <row r="860" spans="1:23" ht="60.75">
      <c r="A860" s="3" t="s">
        <v>23</v>
      </c>
      <c r="B860" s="3" t="s">
        <v>24</v>
      </c>
      <c r="C860" s="3" t="s">
        <v>35</v>
      </c>
      <c r="D860" s="3" t="s">
        <v>48</v>
      </c>
      <c r="E860" s="3" t="s">
        <v>30</v>
      </c>
      <c r="F860" s="3" t="s">
        <v>111</v>
      </c>
      <c r="G860" s="3">
        <v>2016</v>
      </c>
      <c r="H860" s="3" t="str">
        <f>CONCATENATE("64240887899")</f>
        <v>64240887899</v>
      </c>
      <c r="I860" s="3" t="s">
        <v>25</v>
      </c>
      <c r="J860" s="3" t="s">
        <v>26</v>
      </c>
      <c r="K860" s="3" t="str">
        <f t="shared" si="32"/>
        <v/>
      </c>
      <c r="L860" s="3" t="str">
        <f>CONCATENATE("11 11.1 4b")</f>
        <v>11 11.1 4b</v>
      </c>
      <c r="M860" s="3" t="str">
        <f>CONCATENATE("CCCMTT89D12E690X")</f>
        <v>CCCMTT89D12E690X</v>
      </c>
      <c r="N860" s="3" t="s">
        <v>962</v>
      </c>
      <c r="O860" s="3"/>
      <c r="P860" s="4">
        <v>42783</v>
      </c>
      <c r="Q860" s="3" t="s">
        <v>27</v>
      </c>
      <c r="R860" s="3" t="s">
        <v>28</v>
      </c>
      <c r="S860" s="3" t="s">
        <v>29</v>
      </c>
      <c r="T860" s="5">
        <v>1814.53</v>
      </c>
      <c r="U860" s="3">
        <v>782.43</v>
      </c>
      <c r="V860" s="3">
        <v>722.55</v>
      </c>
      <c r="W860" s="3">
        <v>309.55</v>
      </c>
    </row>
    <row r="861" spans="1:23" ht="60.75">
      <c r="A861" s="3" t="s">
        <v>23</v>
      </c>
      <c r="B861" s="3" t="s">
        <v>24</v>
      </c>
      <c r="C861" s="3" t="s">
        <v>35</v>
      </c>
      <c r="D861" s="3" t="s">
        <v>43</v>
      </c>
      <c r="E861" s="3" t="s">
        <v>30</v>
      </c>
      <c r="F861" s="3" t="s">
        <v>113</v>
      </c>
      <c r="G861" s="3">
        <v>2016</v>
      </c>
      <c r="H861" s="3" t="str">
        <f>CONCATENATE("64240825675")</f>
        <v>64240825675</v>
      </c>
      <c r="I861" s="3" t="s">
        <v>25</v>
      </c>
      <c r="J861" s="3" t="s">
        <v>26</v>
      </c>
      <c r="K861" s="3" t="str">
        <f t="shared" si="32"/>
        <v/>
      </c>
      <c r="L861" s="3" t="str">
        <f>CONCATENATE("11 11.1 4b")</f>
        <v>11 11.1 4b</v>
      </c>
      <c r="M861" s="3" t="str">
        <f>CONCATENATE("GRLRRT69P07B352M")</f>
        <v>GRLRRT69P07B352M</v>
      </c>
      <c r="N861" s="3" t="s">
        <v>963</v>
      </c>
      <c r="O861" s="3"/>
      <c r="P861" s="4">
        <v>42783</v>
      </c>
      <c r="Q861" s="3" t="s">
        <v>27</v>
      </c>
      <c r="R861" s="3" t="s">
        <v>28</v>
      </c>
      <c r="S861" s="3" t="s">
        <v>29</v>
      </c>
      <c r="T861" s="5">
        <v>5888.34</v>
      </c>
      <c r="U861" s="5">
        <v>2539.0500000000002</v>
      </c>
      <c r="V861" s="5">
        <v>2344.7399999999998</v>
      </c>
      <c r="W861" s="5">
        <v>1004.55</v>
      </c>
    </row>
    <row r="862" spans="1:23" ht="60.75">
      <c r="A862" s="3" t="s">
        <v>23</v>
      </c>
      <c r="B862" s="3" t="s">
        <v>24</v>
      </c>
      <c r="C862" s="3" t="s">
        <v>35</v>
      </c>
      <c r="D862" s="3" t="s">
        <v>43</v>
      </c>
      <c r="E862" s="3" t="s">
        <v>32</v>
      </c>
      <c r="F862" s="3" t="s">
        <v>575</v>
      </c>
      <c r="G862" s="3">
        <v>2016</v>
      </c>
      <c r="H862" s="3" t="str">
        <f>CONCATENATE("64240403903")</f>
        <v>64240403903</v>
      </c>
      <c r="I862" s="3" t="s">
        <v>25</v>
      </c>
      <c r="J862" s="3" t="s">
        <v>26</v>
      </c>
      <c r="K862" s="3" t="str">
        <f t="shared" si="32"/>
        <v/>
      </c>
      <c r="L862" s="3" t="str">
        <f>CONCATENATE("11 11.2 4b")</f>
        <v>11 11.2 4b</v>
      </c>
      <c r="M862" s="3" t="str">
        <f>CONCATENATE("BLDFNC55C20D488G")</f>
        <v>BLDFNC55C20D488G</v>
      </c>
      <c r="N862" s="3" t="s">
        <v>964</v>
      </c>
      <c r="O862" s="3"/>
      <c r="P862" s="4">
        <v>42783</v>
      </c>
      <c r="Q862" s="3" t="s">
        <v>27</v>
      </c>
      <c r="R862" s="3" t="s">
        <v>28</v>
      </c>
      <c r="S862" s="3" t="s">
        <v>29</v>
      </c>
      <c r="T862" s="5">
        <v>5294.29</v>
      </c>
      <c r="U862" s="5">
        <v>2282.9</v>
      </c>
      <c r="V862" s="5">
        <v>2108.19</v>
      </c>
      <c r="W862" s="3">
        <v>903.2</v>
      </c>
    </row>
    <row r="863" spans="1:23" ht="60.75">
      <c r="A863" s="3" t="s">
        <v>23</v>
      </c>
      <c r="B863" s="3" t="s">
        <v>24</v>
      </c>
      <c r="C863" s="3" t="s">
        <v>35</v>
      </c>
      <c r="D863" s="3" t="s">
        <v>36</v>
      </c>
      <c r="E863" s="3" t="s">
        <v>42</v>
      </c>
      <c r="F863" s="3" t="s">
        <v>42</v>
      </c>
      <c r="G863" s="3">
        <v>2016</v>
      </c>
      <c r="H863" s="3" t="str">
        <f>CONCATENATE("64240391405")</f>
        <v>64240391405</v>
      </c>
      <c r="I863" s="3" t="s">
        <v>25</v>
      </c>
      <c r="J863" s="3" t="s">
        <v>26</v>
      </c>
      <c r="K863" s="3" t="str">
        <f t="shared" si="32"/>
        <v/>
      </c>
      <c r="L863" s="3" t="str">
        <f>CONCATENATE("11 11.2 4b")</f>
        <v>11 11.2 4b</v>
      </c>
      <c r="M863" s="3" t="str">
        <f>CONCATENATE("FRTLRA69C51A940T")</f>
        <v>FRTLRA69C51A940T</v>
      </c>
      <c r="N863" s="3" t="s">
        <v>965</v>
      </c>
      <c r="O863" s="3"/>
      <c r="P863" s="4">
        <v>42783</v>
      </c>
      <c r="Q863" s="3" t="s">
        <v>27</v>
      </c>
      <c r="R863" s="3" t="s">
        <v>28</v>
      </c>
      <c r="S863" s="3" t="s">
        <v>29</v>
      </c>
      <c r="T863" s="5">
        <v>4456.04</v>
      </c>
      <c r="U863" s="5">
        <v>1921.44</v>
      </c>
      <c r="V863" s="5">
        <v>1774.4</v>
      </c>
      <c r="W863" s="3">
        <v>760.2</v>
      </c>
    </row>
    <row r="864" spans="1:23" ht="60.75">
      <c r="A864" s="3" t="s">
        <v>23</v>
      </c>
      <c r="B864" s="3" t="s">
        <v>24</v>
      </c>
      <c r="C864" s="3" t="s">
        <v>35</v>
      </c>
      <c r="D864" s="3" t="s">
        <v>43</v>
      </c>
      <c r="E864" s="3" t="s">
        <v>30</v>
      </c>
      <c r="F864" s="3" t="s">
        <v>76</v>
      </c>
      <c r="G864" s="3">
        <v>2016</v>
      </c>
      <c r="H864" s="3" t="str">
        <f>CONCATENATE("64240818480")</f>
        <v>64240818480</v>
      </c>
      <c r="I864" s="3" t="s">
        <v>25</v>
      </c>
      <c r="J864" s="3" t="s">
        <v>26</v>
      </c>
      <c r="K864" s="3" t="str">
        <f t="shared" si="32"/>
        <v/>
      </c>
      <c r="L864" s="3" t="str">
        <f>CONCATENATE("11 11.2 4b")</f>
        <v>11 11.2 4b</v>
      </c>
      <c r="M864" s="3" t="str">
        <f>CONCATENATE("MGNLCN54S09I459K")</f>
        <v>MGNLCN54S09I459K</v>
      </c>
      <c r="N864" s="3" t="s">
        <v>966</v>
      </c>
      <c r="O864" s="3"/>
      <c r="P864" s="4">
        <v>42783</v>
      </c>
      <c r="Q864" s="3" t="s">
        <v>27</v>
      </c>
      <c r="R864" s="3" t="s">
        <v>28</v>
      </c>
      <c r="S864" s="3" t="s">
        <v>29</v>
      </c>
      <c r="T864" s="5">
        <v>5085.53</v>
      </c>
      <c r="U864" s="5">
        <v>2192.88</v>
      </c>
      <c r="V864" s="5">
        <v>2025.06</v>
      </c>
      <c r="W864" s="3">
        <v>867.59</v>
      </c>
    </row>
    <row r="865" spans="1:23" ht="60.75">
      <c r="A865" s="3" t="s">
        <v>23</v>
      </c>
      <c r="B865" s="3" t="s">
        <v>24</v>
      </c>
      <c r="C865" s="3" t="s">
        <v>35</v>
      </c>
      <c r="D865" s="3" t="s">
        <v>48</v>
      </c>
      <c r="E865" s="3" t="s">
        <v>30</v>
      </c>
      <c r="F865" s="3" t="s">
        <v>157</v>
      </c>
      <c r="G865" s="3">
        <v>2016</v>
      </c>
      <c r="H865" s="3" t="str">
        <f>CONCATENATE("64240625380")</f>
        <v>64240625380</v>
      </c>
      <c r="I865" s="3" t="s">
        <v>25</v>
      </c>
      <c r="J865" s="3" t="s">
        <v>26</v>
      </c>
      <c r="K865" s="3" t="str">
        <f t="shared" si="32"/>
        <v/>
      </c>
      <c r="L865" s="3" t="str">
        <f>CONCATENATE("11 11.2 4b")</f>
        <v>11 11.2 4b</v>
      </c>
      <c r="M865" s="3" t="str">
        <f>CONCATENATE("MRZLGN75A18L191E")</f>
        <v>MRZLGN75A18L191E</v>
      </c>
      <c r="N865" s="3" t="s">
        <v>967</v>
      </c>
      <c r="O865" s="3"/>
      <c r="P865" s="4">
        <v>42783</v>
      </c>
      <c r="Q865" s="3" t="s">
        <v>27</v>
      </c>
      <c r="R865" s="3" t="s">
        <v>28</v>
      </c>
      <c r="S865" s="3" t="s">
        <v>29</v>
      </c>
      <c r="T865" s="5">
        <v>3592.38</v>
      </c>
      <c r="U865" s="5">
        <v>1549.03</v>
      </c>
      <c r="V865" s="5">
        <v>1430.49</v>
      </c>
      <c r="W865" s="3">
        <v>612.86</v>
      </c>
    </row>
    <row r="866" spans="1:23" ht="60.75">
      <c r="A866" s="3" t="s">
        <v>23</v>
      </c>
      <c r="B866" s="3" t="s">
        <v>24</v>
      </c>
      <c r="C866" s="3" t="s">
        <v>35</v>
      </c>
      <c r="D866" s="3" t="s">
        <v>43</v>
      </c>
      <c r="E866" s="3" t="s">
        <v>34</v>
      </c>
      <c r="F866" s="3" t="s">
        <v>146</v>
      </c>
      <c r="G866" s="3">
        <v>2016</v>
      </c>
      <c r="H866" s="3" t="str">
        <f>CONCATENATE("64210597254")</f>
        <v>64210597254</v>
      </c>
      <c r="I866" s="3" t="s">
        <v>25</v>
      </c>
      <c r="J866" s="3" t="s">
        <v>26</v>
      </c>
      <c r="K866" s="3" t="str">
        <f t="shared" si="32"/>
        <v/>
      </c>
      <c r="L866" s="3" t="str">
        <f>CONCATENATE("13 13.1 4a")</f>
        <v>13 13.1 4a</v>
      </c>
      <c r="M866" s="3" t="str">
        <f>CONCATENATE("BNDLCU60H23G479K")</f>
        <v>BNDLCU60H23G479K</v>
      </c>
      <c r="N866" s="3" t="s">
        <v>968</v>
      </c>
      <c r="O866" s="3"/>
      <c r="P866" s="4">
        <v>42783</v>
      </c>
      <c r="Q866" s="3" t="s">
        <v>27</v>
      </c>
      <c r="R866" s="3" t="s">
        <v>28</v>
      </c>
      <c r="S866" s="3" t="s">
        <v>29</v>
      </c>
      <c r="T866" s="5">
        <v>5238</v>
      </c>
      <c r="U866" s="5">
        <v>2258.63</v>
      </c>
      <c r="V866" s="5">
        <v>2085.77</v>
      </c>
      <c r="W866" s="3">
        <v>893.6</v>
      </c>
    </row>
    <row r="867" spans="1:23" ht="60.75">
      <c r="A867" s="3" t="s">
        <v>23</v>
      </c>
      <c r="B867" s="3" t="s">
        <v>24</v>
      </c>
      <c r="C867" s="3" t="s">
        <v>35</v>
      </c>
      <c r="D867" s="3" t="s">
        <v>43</v>
      </c>
      <c r="E867" s="3" t="s">
        <v>30</v>
      </c>
      <c r="F867" s="3" t="s">
        <v>76</v>
      </c>
      <c r="G867" s="3">
        <v>2016</v>
      </c>
      <c r="H867" s="3" t="str">
        <f>CONCATENATE("64240366332")</f>
        <v>64240366332</v>
      </c>
      <c r="I867" s="3" t="s">
        <v>25</v>
      </c>
      <c r="J867" s="3" t="s">
        <v>26</v>
      </c>
      <c r="K867" s="3" t="str">
        <f t="shared" si="32"/>
        <v/>
      </c>
      <c r="L867" s="3" t="str">
        <f>CONCATENATE("11 11.1 4b")</f>
        <v>11 11.1 4b</v>
      </c>
      <c r="M867" s="3" t="str">
        <f>CONCATENATE("CCCBDT64T09I459G")</f>
        <v>CCCBDT64T09I459G</v>
      </c>
      <c r="N867" s="3" t="s">
        <v>969</v>
      </c>
      <c r="O867" s="3"/>
      <c r="P867" s="4">
        <v>42783</v>
      </c>
      <c r="Q867" s="3" t="s">
        <v>27</v>
      </c>
      <c r="R867" s="3" t="s">
        <v>28</v>
      </c>
      <c r="S867" s="3" t="s">
        <v>29</v>
      </c>
      <c r="T867" s="5">
        <v>8951.86</v>
      </c>
      <c r="U867" s="5">
        <v>3860.04</v>
      </c>
      <c r="V867" s="5">
        <v>3564.63</v>
      </c>
      <c r="W867" s="5">
        <v>1527.19</v>
      </c>
    </row>
    <row r="868" spans="1:23" ht="36.75">
      <c r="A868" s="3" t="s">
        <v>23</v>
      </c>
      <c r="B868" s="3" t="s">
        <v>24</v>
      </c>
      <c r="C868" s="3" t="s">
        <v>35</v>
      </c>
      <c r="D868" s="3" t="s">
        <v>48</v>
      </c>
      <c r="E868" s="3" t="s">
        <v>59</v>
      </c>
      <c r="F868" s="3" t="s">
        <v>240</v>
      </c>
      <c r="G868" s="3">
        <v>2016</v>
      </c>
      <c r="H868" s="3" t="str">
        <f>CONCATENATE("64240360921")</f>
        <v>64240360921</v>
      </c>
      <c r="I868" s="3" t="s">
        <v>25</v>
      </c>
      <c r="J868" s="3" t="s">
        <v>26</v>
      </c>
      <c r="K868" s="3" t="str">
        <f t="shared" si="32"/>
        <v/>
      </c>
      <c r="L868" s="3" t="str">
        <f>CONCATENATE("11 11.2 4b")</f>
        <v>11 11.2 4b</v>
      </c>
      <c r="M868" s="3" t="str">
        <f>CONCATENATE("01577800434")</f>
        <v>01577800434</v>
      </c>
      <c r="N868" s="3" t="s">
        <v>970</v>
      </c>
      <c r="O868" s="3"/>
      <c r="P868" s="4">
        <v>42783</v>
      </c>
      <c r="Q868" s="3" t="s">
        <v>27</v>
      </c>
      <c r="R868" s="3" t="s">
        <v>28</v>
      </c>
      <c r="S868" s="3" t="s">
        <v>29</v>
      </c>
      <c r="T868" s="5">
        <v>1853.93</v>
      </c>
      <c r="U868" s="3">
        <v>799.41</v>
      </c>
      <c r="V868" s="3">
        <v>738.23</v>
      </c>
      <c r="W868" s="3">
        <v>316.29000000000002</v>
      </c>
    </row>
    <row r="869" spans="1:23" ht="60.75">
      <c r="A869" s="3" t="s">
        <v>23</v>
      </c>
      <c r="B869" s="3" t="s">
        <v>24</v>
      </c>
      <c r="C869" s="3" t="s">
        <v>35</v>
      </c>
      <c r="D869" s="3" t="s">
        <v>48</v>
      </c>
      <c r="E869" s="3" t="s">
        <v>34</v>
      </c>
      <c r="F869" s="3" t="s">
        <v>141</v>
      </c>
      <c r="G869" s="3">
        <v>2016</v>
      </c>
      <c r="H869" s="3" t="str">
        <f>CONCATENATE("64240438032")</f>
        <v>64240438032</v>
      </c>
      <c r="I869" s="3" t="s">
        <v>25</v>
      </c>
      <c r="J869" s="3" t="s">
        <v>26</v>
      </c>
      <c r="K869" s="3" t="str">
        <f t="shared" si="32"/>
        <v/>
      </c>
      <c r="L869" s="3" t="str">
        <f>CONCATENATE("11 11.2 4b")</f>
        <v>11 11.2 4b</v>
      </c>
      <c r="M869" s="3" t="str">
        <f>CONCATENATE("LPPBBR74B62E783E")</f>
        <v>LPPBBR74B62E783E</v>
      </c>
      <c r="N869" s="3" t="s">
        <v>971</v>
      </c>
      <c r="O869" s="3"/>
      <c r="P869" s="4">
        <v>42783</v>
      </c>
      <c r="Q869" s="3" t="s">
        <v>27</v>
      </c>
      <c r="R869" s="3" t="s">
        <v>28</v>
      </c>
      <c r="S869" s="3" t="s">
        <v>29</v>
      </c>
      <c r="T869" s="5">
        <v>1295.8699999999999</v>
      </c>
      <c r="U869" s="3">
        <v>558.78</v>
      </c>
      <c r="V869" s="3">
        <v>516.02</v>
      </c>
      <c r="W869" s="3">
        <v>221.07</v>
      </c>
    </row>
    <row r="870" spans="1:23" ht="60.75">
      <c r="A870" s="3" t="s">
        <v>23</v>
      </c>
      <c r="B870" s="3" t="s">
        <v>24</v>
      </c>
      <c r="C870" s="3" t="s">
        <v>35</v>
      </c>
      <c r="D870" s="3" t="s">
        <v>39</v>
      </c>
      <c r="E870" s="3" t="s">
        <v>30</v>
      </c>
      <c r="F870" s="3" t="s">
        <v>84</v>
      </c>
      <c r="G870" s="3">
        <v>2016</v>
      </c>
      <c r="H870" s="3" t="str">
        <f>CONCATENATE("64240040382")</f>
        <v>64240040382</v>
      </c>
      <c r="I870" s="3" t="s">
        <v>25</v>
      </c>
      <c r="J870" s="3" t="s">
        <v>26</v>
      </c>
      <c r="K870" s="3" t="str">
        <f t="shared" si="32"/>
        <v/>
      </c>
      <c r="L870" s="3" t="str">
        <f>CONCATENATE("11 11.2 4b")</f>
        <v>11 11.2 4b</v>
      </c>
      <c r="M870" s="3" t="str">
        <f>CONCATENATE("RSSFSC63B60F356K")</f>
        <v>RSSFSC63B60F356K</v>
      </c>
      <c r="N870" s="3" t="s">
        <v>972</v>
      </c>
      <c r="O870" s="3"/>
      <c r="P870" s="4">
        <v>42783</v>
      </c>
      <c r="Q870" s="3" t="s">
        <v>27</v>
      </c>
      <c r="R870" s="3" t="s">
        <v>28</v>
      </c>
      <c r="S870" s="3" t="s">
        <v>29</v>
      </c>
      <c r="T870" s="5">
        <v>1666.91</v>
      </c>
      <c r="U870" s="3">
        <v>718.77</v>
      </c>
      <c r="V870" s="3">
        <v>663.76</v>
      </c>
      <c r="W870" s="3">
        <v>284.38</v>
      </c>
    </row>
    <row r="871" spans="1:23" ht="60.75">
      <c r="A871" s="3" t="s">
        <v>23</v>
      </c>
      <c r="B871" s="3" t="s">
        <v>24</v>
      </c>
      <c r="C871" s="3" t="s">
        <v>35</v>
      </c>
      <c r="D871" s="3" t="s">
        <v>36</v>
      </c>
      <c r="E871" s="3" t="s">
        <v>30</v>
      </c>
      <c r="F871" s="3" t="s">
        <v>37</v>
      </c>
      <c r="G871" s="3">
        <v>2016</v>
      </c>
      <c r="H871" s="3" t="str">
        <f>CONCATENATE("64210394454")</f>
        <v>64210394454</v>
      </c>
      <c r="I871" s="3" t="s">
        <v>25</v>
      </c>
      <c r="J871" s="3" t="s">
        <v>26</v>
      </c>
      <c r="K871" s="3" t="str">
        <f t="shared" si="32"/>
        <v/>
      </c>
      <c r="L871" s="3" t="str">
        <f>CONCATENATE("13 13.1 4a")</f>
        <v>13 13.1 4a</v>
      </c>
      <c r="M871" s="3" t="str">
        <f>CONCATENATE("SPRMRA49E65F570X")</f>
        <v>SPRMRA49E65F570X</v>
      </c>
      <c r="N871" s="3" t="s">
        <v>973</v>
      </c>
      <c r="O871" s="3"/>
      <c r="P871" s="4">
        <v>42783</v>
      </c>
      <c r="Q871" s="3" t="s">
        <v>27</v>
      </c>
      <c r="R871" s="3" t="s">
        <v>28</v>
      </c>
      <c r="S871" s="3" t="s">
        <v>29</v>
      </c>
      <c r="T871" s="5">
        <v>1184.06</v>
      </c>
      <c r="U871" s="3">
        <v>510.57</v>
      </c>
      <c r="V871" s="3">
        <v>471.49</v>
      </c>
      <c r="W871" s="3">
        <v>202</v>
      </c>
    </row>
    <row r="872" spans="1:23" ht="60.75">
      <c r="A872" s="3" t="s">
        <v>23</v>
      </c>
      <c r="B872" s="3" t="s">
        <v>24</v>
      </c>
      <c r="C872" s="3" t="s">
        <v>35</v>
      </c>
      <c r="D872" s="3" t="s">
        <v>43</v>
      </c>
      <c r="E872" s="3" t="s">
        <v>30</v>
      </c>
      <c r="F872" s="3" t="s">
        <v>199</v>
      </c>
      <c r="G872" s="3">
        <v>2016</v>
      </c>
      <c r="H872" s="3" t="str">
        <f>CONCATENATE("64240884946")</f>
        <v>64240884946</v>
      </c>
      <c r="I872" s="3" t="s">
        <v>25</v>
      </c>
      <c r="J872" s="3" t="s">
        <v>26</v>
      </c>
      <c r="K872" s="3" t="str">
        <f t="shared" si="32"/>
        <v/>
      </c>
      <c r="L872" s="3" t="str">
        <f>CONCATENATE("10 10.1 4b")</f>
        <v>10 10.1 4b</v>
      </c>
      <c r="M872" s="3" t="str">
        <f>CONCATENATE("PDNLRT55S19I285U")</f>
        <v>PDNLRT55S19I285U</v>
      </c>
      <c r="N872" s="3" t="s">
        <v>974</v>
      </c>
      <c r="O872" s="3"/>
      <c r="P872" s="4">
        <v>42783</v>
      </c>
      <c r="Q872" s="3" t="s">
        <v>27</v>
      </c>
      <c r="R872" s="3" t="s">
        <v>28</v>
      </c>
      <c r="S872" s="3" t="s">
        <v>29</v>
      </c>
      <c r="T872" s="5">
        <v>1904.2</v>
      </c>
      <c r="U872" s="3">
        <v>821.09</v>
      </c>
      <c r="V872" s="3">
        <v>758.25</v>
      </c>
      <c r="W872" s="3">
        <v>324.86</v>
      </c>
    </row>
    <row r="873" spans="1:23" ht="36.75">
      <c r="A873" s="3" t="s">
        <v>23</v>
      </c>
      <c r="B873" s="3" t="s">
        <v>24</v>
      </c>
      <c r="C873" s="3" t="s">
        <v>35</v>
      </c>
      <c r="D873" s="3" t="s">
        <v>43</v>
      </c>
      <c r="E873" s="3" t="s">
        <v>32</v>
      </c>
      <c r="F873" s="3" t="s">
        <v>575</v>
      </c>
      <c r="G873" s="3">
        <v>2016</v>
      </c>
      <c r="H873" s="3" t="str">
        <f>CONCATENATE("64240318721")</f>
        <v>64240318721</v>
      </c>
      <c r="I873" s="3" t="s">
        <v>25</v>
      </c>
      <c r="J873" s="3" t="s">
        <v>26</v>
      </c>
      <c r="K873" s="3" t="str">
        <f t="shared" si="32"/>
        <v/>
      </c>
      <c r="L873" s="3" t="str">
        <f>CONCATENATE("11 11.2 4b")</f>
        <v>11 11.2 4b</v>
      </c>
      <c r="M873" s="3" t="str">
        <f>CONCATENATE("02458930415")</f>
        <v>02458930415</v>
      </c>
      <c r="N873" s="3" t="s">
        <v>975</v>
      </c>
      <c r="O873" s="3"/>
      <c r="P873" s="4">
        <v>42783</v>
      </c>
      <c r="Q873" s="3" t="s">
        <v>27</v>
      </c>
      <c r="R873" s="3" t="s">
        <v>28</v>
      </c>
      <c r="S873" s="3" t="s">
        <v>29</v>
      </c>
      <c r="T873" s="5">
        <v>6473.66</v>
      </c>
      <c r="U873" s="5">
        <v>2791.44</v>
      </c>
      <c r="V873" s="5">
        <v>2577.81</v>
      </c>
      <c r="W873" s="5">
        <v>1104.4100000000001</v>
      </c>
    </row>
    <row r="874" spans="1:23" ht="60.75">
      <c r="A874" s="3" t="s">
        <v>23</v>
      </c>
      <c r="B874" s="3" t="s">
        <v>24</v>
      </c>
      <c r="C874" s="3" t="s">
        <v>35</v>
      </c>
      <c r="D874" s="3" t="s">
        <v>48</v>
      </c>
      <c r="E874" s="3" t="s">
        <v>30</v>
      </c>
      <c r="F874" s="3" t="s">
        <v>91</v>
      </c>
      <c r="G874" s="3">
        <v>2016</v>
      </c>
      <c r="H874" s="3" t="str">
        <f>CONCATENATE("64210582736")</f>
        <v>64210582736</v>
      </c>
      <c r="I874" s="3" t="s">
        <v>25</v>
      </c>
      <c r="J874" s="3" t="s">
        <v>26</v>
      </c>
      <c r="K874" s="3" t="str">
        <f t="shared" si="32"/>
        <v/>
      </c>
      <c r="L874" s="3" t="str">
        <f>CONCATENATE("13 13.1 4a")</f>
        <v>13 13.1 4a</v>
      </c>
      <c r="M874" s="3" t="str">
        <f>CONCATENATE("MDSRNR51B19D429C")</f>
        <v>MDSRNR51B19D429C</v>
      </c>
      <c r="N874" s="3" t="s">
        <v>976</v>
      </c>
      <c r="O874" s="3"/>
      <c r="P874" s="4">
        <v>42783</v>
      </c>
      <c r="Q874" s="3" t="s">
        <v>27</v>
      </c>
      <c r="R874" s="3" t="s">
        <v>28</v>
      </c>
      <c r="S874" s="3" t="s">
        <v>29</v>
      </c>
      <c r="T874" s="5">
        <v>3550.26</v>
      </c>
      <c r="U874" s="5">
        <v>1530.87</v>
      </c>
      <c r="V874" s="5">
        <v>1413.71</v>
      </c>
      <c r="W874" s="3">
        <v>605.67999999999995</v>
      </c>
    </row>
    <row r="875" spans="1:23" ht="60.75">
      <c r="A875" s="3" t="s">
        <v>23</v>
      </c>
      <c r="B875" s="3" t="s">
        <v>24</v>
      </c>
      <c r="C875" s="3" t="s">
        <v>35</v>
      </c>
      <c r="D875" s="3" t="s">
        <v>43</v>
      </c>
      <c r="E875" s="3" t="s">
        <v>30</v>
      </c>
      <c r="F875" s="3" t="s">
        <v>109</v>
      </c>
      <c r="G875" s="3">
        <v>2016</v>
      </c>
      <c r="H875" s="3" t="str">
        <f>CONCATENATE("64210930190")</f>
        <v>64210930190</v>
      </c>
      <c r="I875" s="3" t="s">
        <v>25</v>
      </c>
      <c r="J875" s="3" t="s">
        <v>26</v>
      </c>
      <c r="K875" s="3" t="str">
        <f t="shared" si="32"/>
        <v/>
      </c>
      <c r="L875" s="3" t="str">
        <f>CONCATENATE("13 13.1 4a")</f>
        <v>13 13.1 4a</v>
      </c>
      <c r="M875" s="3" t="str">
        <f>CONCATENATE("VNNGPP50L60G453O")</f>
        <v>VNNGPP50L60G453O</v>
      </c>
      <c r="N875" s="3" t="s">
        <v>268</v>
      </c>
      <c r="O875" s="3"/>
      <c r="P875" s="4">
        <v>42783</v>
      </c>
      <c r="Q875" s="3" t="s">
        <v>27</v>
      </c>
      <c r="R875" s="3" t="s">
        <v>28</v>
      </c>
      <c r="S875" s="3" t="s">
        <v>29</v>
      </c>
      <c r="T875" s="5">
        <v>2590.77</v>
      </c>
      <c r="U875" s="5">
        <v>1117.1400000000001</v>
      </c>
      <c r="V875" s="5">
        <v>1031.6400000000001</v>
      </c>
      <c r="W875" s="3">
        <v>441.99</v>
      </c>
    </row>
    <row r="876" spans="1:23" ht="60.75">
      <c r="A876" s="3" t="s">
        <v>23</v>
      </c>
      <c r="B876" s="3" t="s">
        <v>24</v>
      </c>
      <c r="C876" s="3" t="s">
        <v>35</v>
      </c>
      <c r="D876" s="3" t="s">
        <v>36</v>
      </c>
      <c r="E876" s="3" t="s">
        <v>30</v>
      </c>
      <c r="F876" s="3" t="s">
        <v>37</v>
      </c>
      <c r="G876" s="3">
        <v>2016</v>
      </c>
      <c r="H876" s="3" t="str">
        <f>CONCATENATE("64240604757")</f>
        <v>64240604757</v>
      </c>
      <c r="I876" s="3" t="s">
        <v>31</v>
      </c>
      <c r="J876" s="3" t="s">
        <v>26</v>
      </c>
      <c r="K876" s="3" t="str">
        <f t="shared" si="32"/>
        <v/>
      </c>
      <c r="L876" s="3" t="str">
        <f>CONCATENATE("10 10.1 4b")</f>
        <v>10 10.1 4b</v>
      </c>
      <c r="M876" s="3" t="str">
        <f>CONCATENATE("MCCMCL51T24B727Z")</f>
        <v>MCCMCL51T24B727Z</v>
      </c>
      <c r="N876" s="3" t="s">
        <v>977</v>
      </c>
      <c r="O876" s="3"/>
      <c r="P876" s="4">
        <v>42783</v>
      </c>
      <c r="Q876" s="3" t="s">
        <v>27</v>
      </c>
      <c r="R876" s="3" t="s">
        <v>28</v>
      </c>
      <c r="S876" s="3" t="s">
        <v>29</v>
      </c>
      <c r="T876" s="3">
        <v>283.8</v>
      </c>
      <c r="U876" s="3">
        <v>122.37</v>
      </c>
      <c r="V876" s="3">
        <v>113.01</v>
      </c>
      <c r="W876" s="3">
        <v>48.42</v>
      </c>
    </row>
    <row r="877" spans="1:23" ht="72.75">
      <c r="A877" s="3" t="s">
        <v>23</v>
      </c>
      <c r="B877" s="3" t="s">
        <v>24</v>
      </c>
      <c r="C877" s="3" t="s">
        <v>35</v>
      </c>
      <c r="D877" s="3" t="s">
        <v>48</v>
      </c>
      <c r="E877" s="3" t="s">
        <v>30</v>
      </c>
      <c r="F877" s="3" t="s">
        <v>57</v>
      </c>
      <c r="G877" s="3">
        <v>2016</v>
      </c>
      <c r="H877" s="3" t="str">
        <f>CONCATENATE("64240648820")</f>
        <v>64240648820</v>
      </c>
      <c r="I877" s="3" t="s">
        <v>25</v>
      </c>
      <c r="J877" s="3" t="s">
        <v>26</v>
      </c>
      <c r="K877" s="3" t="str">
        <f t="shared" si="32"/>
        <v/>
      </c>
      <c r="L877" s="3" t="str">
        <f>CONCATENATE("11 11.1 4b")</f>
        <v>11 11.1 4b</v>
      </c>
      <c r="M877" s="3" t="str">
        <f>CONCATENATE("SLVNZR68B28M126D")</f>
        <v>SLVNZR68B28M126D</v>
      </c>
      <c r="N877" s="3" t="s">
        <v>978</v>
      </c>
      <c r="O877" s="3"/>
      <c r="P877" s="4">
        <v>42783</v>
      </c>
      <c r="Q877" s="3" t="s">
        <v>27</v>
      </c>
      <c r="R877" s="3" t="s">
        <v>28</v>
      </c>
      <c r="S877" s="3" t="s">
        <v>29</v>
      </c>
      <c r="T877" s="5">
        <v>8224.99</v>
      </c>
      <c r="U877" s="5">
        <v>3546.62</v>
      </c>
      <c r="V877" s="5">
        <v>3275.19</v>
      </c>
      <c r="W877" s="5">
        <v>1403.18</v>
      </c>
    </row>
    <row r="878" spans="1:23" ht="60.75">
      <c r="A878" s="3" t="s">
        <v>23</v>
      </c>
      <c r="B878" s="3" t="s">
        <v>24</v>
      </c>
      <c r="C878" s="3" t="s">
        <v>35</v>
      </c>
      <c r="D878" s="3" t="s">
        <v>43</v>
      </c>
      <c r="E878" s="3" t="s">
        <v>30</v>
      </c>
      <c r="F878" s="3" t="s">
        <v>76</v>
      </c>
      <c r="G878" s="3">
        <v>2016</v>
      </c>
      <c r="H878" s="3" t="str">
        <f>CONCATENATE("64210617771")</f>
        <v>64210617771</v>
      </c>
      <c r="I878" s="3" t="s">
        <v>25</v>
      </c>
      <c r="J878" s="3" t="s">
        <v>26</v>
      </c>
      <c r="K878" s="3" t="str">
        <f t="shared" ref="K878:K941" si="34">CONCATENATE("")</f>
        <v/>
      </c>
      <c r="L878" s="3" t="str">
        <f>CONCATENATE("13 13.1 4a")</f>
        <v>13 13.1 4a</v>
      </c>
      <c r="M878" s="3" t="str">
        <f>CONCATENATE("CCCBDT64T09I459G")</f>
        <v>CCCBDT64T09I459G</v>
      </c>
      <c r="N878" s="3" t="s">
        <v>969</v>
      </c>
      <c r="O878" s="3"/>
      <c r="P878" s="4">
        <v>42783</v>
      </c>
      <c r="Q878" s="3" t="s">
        <v>27</v>
      </c>
      <c r="R878" s="3" t="s">
        <v>28</v>
      </c>
      <c r="S878" s="3" t="s">
        <v>29</v>
      </c>
      <c r="T878" s="5">
        <v>4021.84</v>
      </c>
      <c r="U878" s="5">
        <v>1734.22</v>
      </c>
      <c r="V878" s="5">
        <v>1601.5</v>
      </c>
      <c r="W878" s="3">
        <v>686.12</v>
      </c>
    </row>
    <row r="879" spans="1:23" ht="72.75">
      <c r="A879" s="3" t="s">
        <v>23</v>
      </c>
      <c r="B879" s="3" t="s">
        <v>24</v>
      </c>
      <c r="C879" s="3" t="s">
        <v>35</v>
      </c>
      <c r="D879" s="3" t="s">
        <v>36</v>
      </c>
      <c r="E879" s="3" t="s">
        <v>32</v>
      </c>
      <c r="F879" s="3" t="s">
        <v>208</v>
      </c>
      <c r="G879" s="3">
        <v>2016</v>
      </c>
      <c r="H879" s="3" t="str">
        <f>CONCATENATE("64240267449")</f>
        <v>64240267449</v>
      </c>
      <c r="I879" s="3" t="s">
        <v>25</v>
      </c>
      <c r="J879" s="3" t="s">
        <v>26</v>
      </c>
      <c r="K879" s="3" t="str">
        <f t="shared" si="34"/>
        <v/>
      </c>
      <c r="L879" s="3" t="str">
        <f>CONCATENATE("11 11.2 4b")</f>
        <v>11 11.2 4b</v>
      </c>
      <c r="M879" s="3" t="str">
        <f>CONCATENATE("PRRBNL63R57H769D")</f>
        <v>PRRBNL63R57H769D</v>
      </c>
      <c r="N879" s="3" t="s">
        <v>979</v>
      </c>
      <c r="O879" s="3"/>
      <c r="P879" s="4">
        <v>42783</v>
      </c>
      <c r="Q879" s="3" t="s">
        <v>27</v>
      </c>
      <c r="R879" s="3" t="s">
        <v>28</v>
      </c>
      <c r="S879" s="3" t="s">
        <v>29</v>
      </c>
      <c r="T879" s="5">
        <v>2285.48</v>
      </c>
      <c r="U879" s="3">
        <v>985.5</v>
      </c>
      <c r="V879" s="3">
        <v>910.08</v>
      </c>
      <c r="W879" s="3">
        <v>389.9</v>
      </c>
    </row>
    <row r="880" spans="1:23" ht="60.75">
      <c r="A880" s="3" t="s">
        <v>23</v>
      </c>
      <c r="B880" s="3" t="s">
        <v>24</v>
      </c>
      <c r="C880" s="3" t="s">
        <v>35</v>
      </c>
      <c r="D880" s="3" t="s">
        <v>36</v>
      </c>
      <c r="E880" s="3" t="s">
        <v>42</v>
      </c>
      <c r="F880" s="3" t="s">
        <v>42</v>
      </c>
      <c r="G880" s="3">
        <v>2016</v>
      </c>
      <c r="H880" s="3" t="str">
        <f>CONCATENATE("64240071999")</f>
        <v>64240071999</v>
      </c>
      <c r="I880" s="3" t="s">
        <v>25</v>
      </c>
      <c r="J880" s="3" t="s">
        <v>26</v>
      </c>
      <c r="K880" s="3" t="str">
        <f t="shared" si="34"/>
        <v/>
      </c>
      <c r="L880" s="3" t="str">
        <f>CONCATENATE("11 11.2 4b")</f>
        <v>11 11.2 4b</v>
      </c>
      <c r="M880" s="3" t="str">
        <f>CONCATENATE("CTLNTN48T25G005E")</f>
        <v>CTLNTN48T25G005E</v>
      </c>
      <c r="N880" s="3" t="s">
        <v>980</v>
      </c>
      <c r="O880" s="3"/>
      <c r="P880" s="4">
        <v>42783</v>
      </c>
      <c r="Q880" s="3" t="s">
        <v>27</v>
      </c>
      <c r="R880" s="3" t="s">
        <v>28</v>
      </c>
      <c r="S880" s="3" t="s">
        <v>29</v>
      </c>
      <c r="T880" s="5">
        <v>1091.75</v>
      </c>
      <c r="U880" s="3">
        <v>470.76</v>
      </c>
      <c r="V880" s="3">
        <v>434.73</v>
      </c>
      <c r="W880" s="3">
        <v>186.26</v>
      </c>
    </row>
    <row r="881" spans="1:23" ht="36.75">
      <c r="A881" s="3" t="s">
        <v>23</v>
      </c>
      <c r="B881" s="3" t="s">
        <v>24</v>
      </c>
      <c r="C881" s="3" t="s">
        <v>35</v>
      </c>
      <c r="D881" s="3" t="s">
        <v>36</v>
      </c>
      <c r="E881" s="3" t="s">
        <v>33</v>
      </c>
      <c r="F881" s="3" t="s">
        <v>192</v>
      </c>
      <c r="G881" s="3">
        <v>2016</v>
      </c>
      <c r="H881" s="3" t="str">
        <f>CONCATENATE("64240391777")</f>
        <v>64240391777</v>
      </c>
      <c r="I881" s="3" t="s">
        <v>25</v>
      </c>
      <c r="J881" s="3" t="s">
        <v>26</v>
      </c>
      <c r="K881" s="3" t="str">
        <f t="shared" si="34"/>
        <v/>
      </c>
      <c r="L881" s="3" t="str">
        <f>CONCATENATE("11 11.2 4b")</f>
        <v>11 11.2 4b</v>
      </c>
      <c r="M881" s="3" t="str">
        <f>CONCATENATE("01027540440")</f>
        <v>01027540440</v>
      </c>
      <c r="N881" s="3" t="s">
        <v>981</v>
      </c>
      <c r="O881" s="3"/>
      <c r="P881" s="4">
        <v>42783</v>
      </c>
      <c r="Q881" s="3" t="s">
        <v>27</v>
      </c>
      <c r="R881" s="3" t="s">
        <v>28</v>
      </c>
      <c r="S881" s="3" t="s">
        <v>29</v>
      </c>
      <c r="T881" s="5">
        <v>4536.7</v>
      </c>
      <c r="U881" s="5">
        <v>1956.23</v>
      </c>
      <c r="V881" s="5">
        <v>1806.51</v>
      </c>
      <c r="W881" s="3">
        <v>773.96</v>
      </c>
    </row>
    <row r="882" spans="1:23" ht="60.75">
      <c r="A882" s="3" t="s">
        <v>23</v>
      </c>
      <c r="B882" s="3" t="s">
        <v>24</v>
      </c>
      <c r="C882" s="3" t="s">
        <v>35</v>
      </c>
      <c r="D882" s="3" t="s">
        <v>43</v>
      </c>
      <c r="E882" s="3" t="s">
        <v>30</v>
      </c>
      <c r="F882" s="3" t="s">
        <v>76</v>
      </c>
      <c r="G882" s="3">
        <v>2016</v>
      </c>
      <c r="H882" s="3" t="str">
        <f>CONCATENATE("64210096810")</f>
        <v>64210096810</v>
      </c>
      <c r="I882" s="3" t="s">
        <v>25</v>
      </c>
      <c r="J882" s="3" t="s">
        <v>26</v>
      </c>
      <c r="K882" s="3" t="str">
        <f t="shared" si="34"/>
        <v/>
      </c>
      <c r="L882" s="3" t="str">
        <f>CONCATENATE("13 13.1 4a")</f>
        <v>13 13.1 4a</v>
      </c>
      <c r="M882" s="3" t="str">
        <f>CONCATENATE("RSSPPL61H25I459C")</f>
        <v>RSSPPL61H25I459C</v>
      </c>
      <c r="N882" s="3" t="s">
        <v>982</v>
      </c>
      <c r="O882" s="3"/>
      <c r="P882" s="4">
        <v>42783</v>
      </c>
      <c r="Q882" s="3" t="s">
        <v>27</v>
      </c>
      <c r="R882" s="3" t="s">
        <v>28</v>
      </c>
      <c r="S882" s="3" t="s">
        <v>29</v>
      </c>
      <c r="T882" s="5">
        <v>4590</v>
      </c>
      <c r="U882" s="5">
        <v>1979.21</v>
      </c>
      <c r="V882" s="5">
        <v>1827.74</v>
      </c>
      <c r="W882" s="3">
        <v>783.05</v>
      </c>
    </row>
    <row r="883" spans="1:23" ht="60.75">
      <c r="A883" s="3" t="s">
        <v>23</v>
      </c>
      <c r="B883" s="3" t="s">
        <v>24</v>
      </c>
      <c r="C883" s="3" t="s">
        <v>35</v>
      </c>
      <c r="D883" s="3" t="s">
        <v>36</v>
      </c>
      <c r="E883" s="3" t="s">
        <v>32</v>
      </c>
      <c r="F883" s="3" t="s">
        <v>179</v>
      </c>
      <c r="G883" s="3">
        <v>2016</v>
      </c>
      <c r="H883" s="3" t="str">
        <f>CONCATENATE("64210448458")</f>
        <v>64210448458</v>
      </c>
      <c r="I883" s="3" t="s">
        <v>25</v>
      </c>
      <c r="J883" s="3" t="s">
        <v>26</v>
      </c>
      <c r="K883" s="3" t="str">
        <f t="shared" si="34"/>
        <v/>
      </c>
      <c r="L883" s="3" t="str">
        <f>CONCATENATE("13 13.1 4a")</f>
        <v>13 13.1 4a</v>
      </c>
      <c r="M883" s="3" t="str">
        <f>CONCATENATE("LNRVTI55B07F570Z")</f>
        <v>LNRVTI55B07F570Z</v>
      </c>
      <c r="N883" s="3" t="s">
        <v>983</v>
      </c>
      <c r="O883" s="3"/>
      <c r="P883" s="4">
        <v>42783</v>
      </c>
      <c r="Q883" s="3" t="s">
        <v>27</v>
      </c>
      <c r="R883" s="3" t="s">
        <v>28</v>
      </c>
      <c r="S883" s="3" t="s">
        <v>29</v>
      </c>
      <c r="T883" s="5">
        <v>2010.98</v>
      </c>
      <c r="U883" s="3">
        <v>867.13</v>
      </c>
      <c r="V883" s="3">
        <v>800.77</v>
      </c>
      <c r="W883" s="3">
        <v>343.08</v>
      </c>
    </row>
    <row r="884" spans="1:23" ht="72.75">
      <c r="A884" s="3" t="s">
        <v>23</v>
      </c>
      <c r="B884" s="3" t="s">
        <v>24</v>
      </c>
      <c r="C884" s="3" t="s">
        <v>35</v>
      </c>
      <c r="D884" s="3" t="s">
        <v>48</v>
      </c>
      <c r="E884" s="3" t="s">
        <v>49</v>
      </c>
      <c r="F884" s="3" t="s">
        <v>74</v>
      </c>
      <c r="G884" s="3">
        <v>2016</v>
      </c>
      <c r="H884" s="3" t="str">
        <f>CONCATENATE("64210855819")</f>
        <v>64210855819</v>
      </c>
      <c r="I884" s="3" t="s">
        <v>25</v>
      </c>
      <c r="J884" s="3" t="s">
        <v>26</v>
      </c>
      <c r="K884" s="3" t="str">
        <f t="shared" si="34"/>
        <v/>
      </c>
      <c r="L884" s="3" t="str">
        <f>CONCATENATE("13 13.1 4a")</f>
        <v>13 13.1 4a</v>
      </c>
      <c r="M884" s="3" t="str">
        <f>CONCATENATE("BNMSLV85T49H501B")</f>
        <v>BNMSLV85T49H501B</v>
      </c>
      <c r="N884" s="3" t="s">
        <v>984</v>
      </c>
      <c r="O884" s="3"/>
      <c r="P884" s="4">
        <v>42783</v>
      </c>
      <c r="Q884" s="3" t="s">
        <v>27</v>
      </c>
      <c r="R884" s="3" t="s">
        <v>28</v>
      </c>
      <c r="S884" s="3" t="s">
        <v>29</v>
      </c>
      <c r="T884" s="3">
        <v>519.78</v>
      </c>
      <c r="U884" s="3">
        <v>224.13</v>
      </c>
      <c r="V884" s="3">
        <v>206.98</v>
      </c>
      <c r="W884" s="3">
        <v>88.67</v>
      </c>
    </row>
    <row r="885" spans="1:23" ht="36.75">
      <c r="A885" s="3" t="s">
        <v>23</v>
      </c>
      <c r="B885" s="3" t="s">
        <v>24</v>
      </c>
      <c r="C885" s="3" t="s">
        <v>35</v>
      </c>
      <c r="D885" s="3" t="s">
        <v>39</v>
      </c>
      <c r="E885" s="3" t="s">
        <v>32</v>
      </c>
      <c r="F885" s="3" t="s">
        <v>69</v>
      </c>
      <c r="G885" s="3">
        <v>2016</v>
      </c>
      <c r="H885" s="3" t="str">
        <f>CONCATENATE("64240881249")</f>
        <v>64240881249</v>
      </c>
      <c r="I885" s="3" t="s">
        <v>25</v>
      </c>
      <c r="J885" s="3" t="s">
        <v>26</v>
      </c>
      <c r="K885" s="3" t="str">
        <f t="shared" si="34"/>
        <v/>
      </c>
      <c r="L885" s="3" t="str">
        <f>CONCATENATE("11 11.1 4b")</f>
        <v>11 11.1 4b</v>
      </c>
      <c r="M885" s="3" t="str">
        <f>CONCATENATE("01111420426")</f>
        <v>01111420426</v>
      </c>
      <c r="N885" s="3" t="s">
        <v>985</v>
      </c>
      <c r="O885" s="3"/>
      <c r="P885" s="4">
        <v>42783</v>
      </c>
      <c r="Q885" s="3" t="s">
        <v>27</v>
      </c>
      <c r="R885" s="3" t="s">
        <v>28</v>
      </c>
      <c r="S885" s="3" t="s">
        <v>29</v>
      </c>
      <c r="T885" s="5">
        <v>7116.86</v>
      </c>
      <c r="U885" s="5">
        <v>3068.79</v>
      </c>
      <c r="V885" s="5">
        <v>2833.93</v>
      </c>
      <c r="W885" s="5">
        <v>1214.1400000000001</v>
      </c>
    </row>
    <row r="886" spans="1:23" ht="36.75">
      <c r="A886" s="3" t="s">
        <v>23</v>
      </c>
      <c r="B886" s="3" t="s">
        <v>24</v>
      </c>
      <c r="C886" s="3" t="s">
        <v>35</v>
      </c>
      <c r="D886" s="3" t="s">
        <v>39</v>
      </c>
      <c r="E886" s="3" t="s">
        <v>32</v>
      </c>
      <c r="F886" s="3" t="s">
        <v>69</v>
      </c>
      <c r="G886" s="3">
        <v>2016</v>
      </c>
      <c r="H886" s="3" t="str">
        <f>CONCATENATE("64210785768")</f>
        <v>64210785768</v>
      </c>
      <c r="I886" s="3" t="s">
        <v>25</v>
      </c>
      <c r="J886" s="3" t="s">
        <v>26</v>
      </c>
      <c r="K886" s="3" t="str">
        <f t="shared" si="34"/>
        <v/>
      </c>
      <c r="L886" s="3" t="str">
        <f>CONCATENATE("13 13.1 4a")</f>
        <v>13 13.1 4a</v>
      </c>
      <c r="M886" s="3" t="str">
        <f>CONCATENATE("01411670423")</f>
        <v>01411670423</v>
      </c>
      <c r="N886" s="3" t="s">
        <v>467</v>
      </c>
      <c r="O886" s="3"/>
      <c r="P886" s="4">
        <v>42783</v>
      </c>
      <c r="Q886" s="3" t="s">
        <v>27</v>
      </c>
      <c r="R886" s="3" t="s">
        <v>28</v>
      </c>
      <c r="S886" s="3" t="s">
        <v>29</v>
      </c>
      <c r="T886" s="5">
        <v>4590</v>
      </c>
      <c r="U886" s="5">
        <v>1979.21</v>
      </c>
      <c r="V886" s="5">
        <v>1827.74</v>
      </c>
      <c r="W886" s="3">
        <v>783.05</v>
      </c>
    </row>
    <row r="887" spans="1:23" ht="72.75">
      <c r="A887" s="3" t="s">
        <v>23</v>
      </c>
      <c r="B887" s="3" t="s">
        <v>24</v>
      </c>
      <c r="C887" s="3" t="s">
        <v>35</v>
      </c>
      <c r="D887" s="3" t="s">
        <v>48</v>
      </c>
      <c r="E887" s="3" t="s">
        <v>33</v>
      </c>
      <c r="F887" s="3" t="s">
        <v>358</v>
      </c>
      <c r="G887" s="3">
        <v>2016</v>
      </c>
      <c r="H887" s="3" t="str">
        <f>CONCATENATE("64240544417")</f>
        <v>64240544417</v>
      </c>
      <c r="I887" s="3" t="s">
        <v>25</v>
      </c>
      <c r="J887" s="3" t="s">
        <v>26</v>
      </c>
      <c r="K887" s="3" t="str">
        <f t="shared" si="34"/>
        <v/>
      </c>
      <c r="L887" s="3" t="str">
        <f>CONCATENATE("11 11.2 4b")</f>
        <v>11 11.2 4b</v>
      </c>
      <c r="M887" s="3" t="str">
        <f>CONCATENATE("RSSMSM68D24H211Y")</f>
        <v>RSSMSM68D24H211Y</v>
      </c>
      <c r="N887" s="3" t="s">
        <v>986</v>
      </c>
      <c r="O887" s="3"/>
      <c r="P887" s="4">
        <v>42783</v>
      </c>
      <c r="Q887" s="3" t="s">
        <v>27</v>
      </c>
      <c r="R887" s="3" t="s">
        <v>28</v>
      </c>
      <c r="S887" s="3" t="s">
        <v>29</v>
      </c>
      <c r="T887" s="5">
        <v>1757.65</v>
      </c>
      <c r="U887" s="3">
        <v>757.9</v>
      </c>
      <c r="V887" s="3">
        <v>699.9</v>
      </c>
      <c r="W887" s="3">
        <v>299.85000000000002</v>
      </c>
    </row>
    <row r="888" spans="1:23" ht="60.75">
      <c r="A888" s="3" t="s">
        <v>23</v>
      </c>
      <c r="B888" s="3" t="s">
        <v>24</v>
      </c>
      <c r="C888" s="3" t="s">
        <v>35</v>
      </c>
      <c r="D888" s="3" t="s">
        <v>43</v>
      </c>
      <c r="E888" s="3" t="s">
        <v>30</v>
      </c>
      <c r="F888" s="3" t="s">
        <v>131</v>
      </c>
      <c r="G888" s="3">
        <v>2016</v>
      </c>
      <c r="H888" s="3" t="str">
        <f>CONCATENATE("64240807483")</f>
        <v>64240807483</v>
      </c>
      <c r="I888" s="3" t="s">
        <v>25</v>
      </c>
      <c r="J888" s="3" t="s">
        <v>26</v>
      </c>
      <c r="K888" s="3" t="str">
        <f t="shared" si="34"/>
        <v/>
      </c>
      <c r="L888" s="3" t="str">
        <f>CONCATENATE("11 11.2 4b")</f>
        <v>11 11.2 4b</v>
      </c>
      <c r="M888" s="3" t="str">
        <f>CONCATENATE("DCRCLD83C12D488U")</f>
        <v>DCRCLD83C12D488U</v>
      </c>
      <c r="N888" s="3" t="s">
        <v>987</v>
      </c>
      <c r="O888" s="3"/>
      <c r="P888" s="4">
        <v>42783</v>
      </c>
      <c r="Q888" s="3" t="s">
        <v>27</v>
      </c>
      <c r="R888" s="3" t="s">
        <v>28</v>
      </c>
      <c r="S888" s="3" t="s">
        <v>29</v>
      </c>
      <c r="T888" s="5">
        <v>4747.1400000000003</v>
      </c>
      <c r="U888" s="5">
        <v>2046.97</v>
      </c>
      <c r="V888" s="5">
        <v>1890.31</v>
      </c>
      <c r="W888" s="3">
        <v>809.86</v>
      </c>
    </row>
    <row r="889" spans="1:23" ht="36.75">
      <c r="A889" s="3" t="s">
        <v>23</v>
      </c>
      <c r="B889" s="3" t="s">
        <v>24</v>
      </c>
      <c r="C889" s="3" t="s">
        <v>35</v>
      </c>
      <c r="D889" s="3" t="s">
        <v>39</v>
      </c>
      <c r="E889" s="3" t="s">
        <v>32</v>
      </c>
      <c r="F889" s="3" t="s">
        <v>215</v>
      </c>
      <c r="G889" s="3">
        <v>2016</v>
      </c>
      <c r="H889" s="3" t="str">
        <f>CONCATENATE("64240345419")</f>
        <v>64240345419</v>
      </c>
      <c r="I889" s="3" t="s">
        <v>25</v>
      </c>
      <c r="J889" s="3" t="s">
        <v>26</v>
      </c>
      <c r="K889" s="3" t="str">
        <f t="shared" si="34"/>
        <v/>
      </c>
      <c r="L889" s="3" t="str">
        <f>CONCATENATE("11 11.1 4b")</f>
        <v>11 11.1 4b</v>
      </c>
      <c r="M889" s="3" t="str">
        <f>CONCATENATE("02699800427")</f>
        <v>02699800427</v>
      </c>
      <c r="N889" s="3" t="s">
        <v>988</v>
      </c>
      <c r="O889" s="3"/>
      <c r="P889" s="4">
        <v>42783</v>
      </c>
      <c r="Q889" s="3" t="s">
        <v>27</v>
      </c>
      <c r="R889" s="3" t="s">
        <v>28</v>
      </c>
      <c r="S889" s="3" t="s">
        <v>29</v>
      </c>
      <c r="T889" s="3">
        <v>681.7</v>
      </c>
      <c r="U889" s="3">
        <v>293.95</v>
      </c>
      <c r="V889" s="3">
        <v>271.45</v>
      </c>
      <c r="W889" s="3">
        <v>116.3</v>
      </c>
    </row>
    <row r="890" spans="1:23" ht="60.75">
      <c r="A890" s="3" t="s">
        <v>23</v>
      </c>
      <c r="B890" s="3" t="s">
        <v>24</v>
      </c>
      <c r="C890" s="3" t="s">
        <v>35</v>
      </c>
      <c r="D890" s="3" t="s">
        <v>43</v>
      </c>
      <c r="E890" s="3" t="s">
        <v>33</v>
      </c>
      <c r="F890" s="3" t="s">
        <v>122</v>
      </c>
      <c r="G890" s="3">
        <v>2016</v>
      </c>
      <c r="H890" s="3" t="str">
        <f>CONCATENATE("64211046970")</f>
        <v>64211046970</v>
      </c>
      <c r="I890" s="3" t="s">
        <v>31</v>
      </c>
      <c r="J890" s="3" t="s">
        <v>26</v>
      </c>
      <c r="K890" s="3" t="str">
        <f t="shared" si="34"/>
        <v/>
      </c>
      <c r="L890" s="3" t="str">
        <f>CONCATENATE("13 13.1 4a")</f>
        <v>13 13.1 4a</v>
      </c>
      <c r="M890" s="3" t="str">
        <f>CONCATENATE("GVNMNL90A17Z129F")</f>
        <v>GVNMNL90A17Z129F</v>
      </c>
      <c r="N890" s="3" t="s">
        <v>989</v>
      </c>
      <c r="O890" s="3"/>
      <c r="P890" s="4">
        <v>42783</v>
      </c>
      <c r="Q890" s="3" t="s">
        <v>27</v>
      </c>
      <c r="R890" s="3" t="s">
        <v>28</v>
      </c>
      <c r="S890" s="3" t="s">
        <v>29</v>
      </c>
      <c r="T890" s="5">
        <v>1093.78</v>
      </c>
      <c r="U890" s="3">
        <v>471.64</v>
      </c>
      <c r="V890" s="3">
        <v>435.54</v>
      </c>
      <c r="W890" s="3">
        <v>186.6</v>
      </c>
    </row>
    <row r="891" spans="1:23" ht="36.75">
      <c r="A891" s="3" t="s">
        <v>23</v>
      </c>
      <c r="B891" s="3" t="s">
        <v>24</v>
      </c>
      <c r="C891" s="3" t="s">
        <v>35</v>
      </c>
      <c r="D891" s="3" t="s">
        <v>36</v>
      </c>
      <c r="E891" s="3" t="s">
        <v>42</v>
      </c>
      <c r="F891" s="3" t="s">
        <v>42</v>
      </c>
      <c r="G891" s="3">
        <v>2016</v>
      </c>
      <c r="H891" s="3" t="str">
        <f>CONCATENATE("64240689576")</f>
        <v>64240689576</v>
      </c>
      <c r="I891" s="3" t="s">
        <v>31</v>
      </c>
      <c r="J891" s="3" t="s">
        <v>26</v>
      </c>
      <c r="K891" s="3" t="str">
        <f t="shared" si="34"/>
        <v/>
      </c>
      <c r="L891" s="3" t="str">
        <f>CONCATENATE("11 11.1 4b")</f>
        <v>11 11.1 4b</v>
      </c>
      <c r="M891" s="3" t="str">
        <f>CONCATENATE("02260430448")</f>
        <v>02260430448</v>
      </c>
      <c r="N891" s="3" t="s">
        <v>990</v>
      </c>
      <c r="O891" s="3"/>
      <c r="P891" s="4">
        <v>42783</v>
      </c>
      <c r="Q891" s="3" t="s">
        <v>27</v>
      </c>
      <c r="R891" s="3" t="s">
        <v>28</v>
      </c>
      <c r="S891" s="3" t="s">
        <v>29</v>
      </c>
      <c r="T891" s="5">
        <v>2144.1799999999998</v>
      </c>
      <c r="U891" s="3">
        <v>924.57</v>
      </c>
      <c r="V891" s="3">
        <v>853.81</v>
      </c>
      <c r="W891" s="3">
        <v>365.8</v>
      </c>
    </row>
    <row r="892" spans="1:23" ht="60.75">
      <c r="A892" s="3" t="s">
        <v>23</v>
      </c>
      <c r="B892" s="3" t="s">
        <v>24</v>
      </c>
      <c r="C892" s="3" t="s">
        <v>35</v>
      </c>
      <c r="D892" s="3" t="s">
        <v>48</v>
      </c>
      <c r="E892" s="3" t="s">
        <v>30</v>
      </c>
      <c r="F892" s="3" t="s">
        <v>57</v>
      </c>
      <c r="G892" s="3">
        <v>2016</v>
      </c>
      <c r="H892" s="3" t="str">
        <f>CONCATENATE("64240544284")</f>
        <v>64240544284</v>
      </c>
      <c r="I892" s="3" t="s">
        <v>25</v>
      </c>
      <c r="J892" s="3" t="s">
        <v>26</v>
      </c>
      <c r="K892" s="3" t="str">
        <f t="shared" si="34"/>
        <v/>
      </c>
      <c r="L892" s="3" t="str">
        <f>CONCATENATE("11 11.2 4b")</f>
        <v>11 11.2 4b</v>
      </c>
      <c r="M892" s="3" t="str">
        <f>CONCATENATE("VSSGZL61B60L191T")</f>
        <v>VSSGZL61B60L191T</v>
      </c>
      <c r="N892" s="3" t="s">
        <v>991</v>
      </c>
      <c r="O892" s="3"/>
      <c r="P892" s="4">
        <v>42783</v>
      </c>
      <c r="Q892" s="3" t="s">
        <v>27</v>
      </c>
      <c r="R892" s="3" t="s">
        <v>28</v>
      </c>
      <c r="S892" s="3" t="s">
        <v>29</v>
      </c>
      <c r="T892" s="5">
        <v>6328.56</v>
      </c>
      <c r="U892" s="5">
        <v>2728.88</v>
      </c>
      <c r="V892" s="5">
        <v>2520.0300000000002</v>
      </c>
      <c r="W892" s="5">
        <v>1079.6500000000001</v>
      </c>
    </row>
    <row r="893" spans="1:23" ht="36.75">
      <c r="A893" s="3" t="s">
        <v>23</v>
      </c>
      <c r="B893" s="3" t="s">
        <v>24</v>
      </c>
      <c r="C893" s="3" t="s">
        <v>35</v>
      </c>
      <c r="D893" s="3" t="s">
        <v>48</v>
      </c>
      <c r="E893" s="3" t="s">
        <v>30</v>
      </c>
      <c r="F893" s="3" t="s">
        <v>55</v>
      </c>
      <c r="G893" s="3">
        <v>2016</v>
      </c>
      <c r="H893" s="3" t="str">
        <f>CONCATENATE("64240306221")</f>
        <v>64240306221</v>
      </c>
      <c r="I893" s="3" t="s">
        <v>25</v>
      </c>
      <c r="J893" s="3" t="s">
        <v>26</v>
      </c>
      <c r="K893" s="3" t="str">
        <f t="shared" si="34"/>
        <v/>
      </c>
      <c r="L893" s="3" t="str">
        <f>CONCATENATE("11 11.2 4b")</f>
        <v>11 11.2 4b</v>
      </c>
      <c r="M893" s="3" t="str">
        <f>CONCATENATE("92000060431")</f>
        <v>92000060431</v>
      </c>
      <c r="N893" s="3" t="s">
        <v>992</v>
      </c>
      <c r="O893" s="3"/>
      <c r="P893" s="4">
        <v>42783</v>
      </c>
      <c r="Q893" s="3" t="s">
        <v>27</v>
      </c>
      <c r="R893" s="3" t="s">
        <v>28</v>
      </c>
      <c r="S893" s="3" t="s">
        <v>29</v>
      </c>
      <c r="T893" s="5">
        <v>10952.36</v>
      </c>
      <c r="U893" s="5">
        <v>4722.66</v>
      </c>
      <c r="V893" s="5">
        <v>4361.2299999999996</v>
      </c>
      <c r="W893" s="5">
        <v>1868.47</v>
      </c>
    </row>
    <row r="894" spans="1:23" ht="60.75">
      <c r="A894" s="3" t="s">
        <v>23</v>
      </c>
      <c r="B894" s="3" t="s">
        <v>24</v>
      </c>
      <c r="C894" s="3" t="s">
        <v>35</v>
      </c>
      <c r="D894" s="3" t="s">
        <v>36</v>
      </c>
      <c r="E894" s="3" t="s">
        <v>33</v>
      </c>
      <c r="F894" s="3" t="s">
        <v>993</v>
      </c>
      <c r="G894" s="3">
        <v>2016</v>
      </c>
      <c r="H894" s="3" t="str">
        <f>CONCATENATE("64240596367")</f>
        <v>64240596367</v>
      </c>
      <c r="I894" s="3" t="s">
        <v>25</v>
      </c>
      <c r="J894" s="3" t="s">
        <v>26</v>
      </c>
      <c r="K894" s="3" t="str">
        <f t="shared" si="34"/>
        <v/>
      </c>
      <c r="L894" s="3" t="str">
        <f>CONCATENATE("11 11.2 4b")</f>
        <v>11 11.2 4b</v>
      </c>
      <c r="M894" s="3" t="str">
        <f>CONCATENATE("GBRSNT59M14A047X")</f>
        <v>GBRSNT59M14A047X</v>
      </c>
      <c r="N894" s="3" t="s">
        <v>994</v>
      </c>
      <c r="O894" s="3"/>
      <c r="P894" s="4">
        <v>42783</v>
      </c>
      <c r="Q894" s="3" t="s">
        <v>27</v>
      </c>
      <c r="R894" s="3" t="s">
        <v>28</v>
      </c>
      <c r="S894" s="3" t="s">
        <v>29</v>
      </c>
      <c r="T894" s="5">
        <v>2979.59</v>
      </c>
      <c r="U894" s="5">
        <v>1284.8</v>
      </c>
      <c r="V894" s="5">
        <v>1186.47</v>
      </c>
      <c r="W894" s="3">
        <v>508.32</v>
      </c>
    </row>
    <row r="895" spans="1:23" ht="36.75">
      <c r="A895" s="3" t="s">
        <v>23</v>
      </c>
      <c r="B895" s="3" t="s">
        <v>24</v>
      </c>
      <c r="C895" s="3" t="s">
        <v>35</v>
      </c>
      <c r="D895" s="3" t="s">
        <v>43</v>
      </c>
      <c r="E895" s="3" t="s">
        <v>34</v>
      </c>
      <c r="F895" s="3" t="s">
        <v>146</v>
      </c>
      <c r="G895" s="3">
        <v>2016</v>
      </c>
      <c r="H895" s="3" t="str">
        <f>CONCATENATE("64240310363")</f>
        <v>64240310363</v>
      </c>
      <c r="I895" s="3" t="s">
        <v>25</v>
      </c>
      <c r="J895" s="3" t="s">
        <v>26</v>
      </c>
      <c r="K895" s="3" t="str">
        <f t="shared" si="34"/>
        <v/>
      </c>
      <c r="L895" s="3" t="str">
        <f>CONCATENATE("11 11.2 4b")</f>
        <v>11 11.2 4b</v>
      </c>
      <c r="M895" s="3" t="str">
        <f>CONCATENATE("02103670416")</f>
        <v>02103670416</v>
      </c>
      <c r="N895" s="3" t="s">
        <v>995</v>
      </c>
      <c r="O895" s="3"/>
      <c r="P895" s="4">
        <v>42783</v>
      </c>
      <c r="Q895" s="3" t="s">
        <v>27</v>
      </c>
      <c r="R895" s="3" t="s">
        <v>28</v>
      </c>
      <c r="S895" s="3" t="s">
        <v>29</v>
      </c>
      <c r="T895" s="5">
        <v>4901.21</v>
      </c>
      <c r="U895" s="5">
        <v>2113.4</v>
      </c>
      <c r="V895" s="5">
        <v>1951.66</v>
      </c>
      <c r="W895" s="3">
        <v>836.15</v>
      </c>
    </row>
    <row r="896" spans="1:23" ht="36.75">
      <c r="A896" s="3" t="s">
        <v>23</v>
      </c>
      <c r="B896" s="3" t="s">
        <v>24</v>
      </c>
      <c r="C896" s="3" t="s">
        <v>35</v>
      </c>
      <c r="D896" s="3" t="s">
        <v>36</v>
      </c>
      <c r="E896" s="3" t="s">
        <v>42</v>
      </c>
      <c r="F896" s="3" t="s">
        <v>42</v>
      </c>
      <c r="G896" s="3">
        <v>2016</v>
      </c>
      <c r="H896" s="3" t="str">
        <f>CONCATENATE("64240592119")</f>
        <v>64240592119</v>
      </c>
      <c r="I896" s="3" t="s">
        <v>31</v>
      </c>
      <c r="J896" s="3" t="s">
        <v>26</v>
      </c>
      <c r="K896" s="3" t="str">
        <f t="shared" si="34"/>
        <v/>
      </c>
      <c r="L896" s="3" t="str">
        <f>CONCATENATE("11 11.2 4b")</f>
        <v>11 11.2 4b</v>
      </c>
      <c r="M896" s="3" t="str">
        <f>CONCATENATE("03496350376")</f>
        <v>03496350376</v>
      </c>
      <c r="N896" s="3" t="s">
        <v>996</v>
      </c>
      <c r="O896" s="3"/>
      <c r="P896" s="4">
        <v>42783</v>
      </c>
      <c r="Q896" s="3" t="s">
        <v>27</v>
      </c>
      <c r="R896" s="3" t="s">
        <v>28</v>
      </c>
      <c r="S896" s="3" t="s">
        <v>29</v>
      </c>
      <c r="T896" s="5">
        <v>14451.8</v>
      </c>
      <c r="U896" s="5">
        <v>6231.62</v>
      </c>
      <c r="V896" s="5">
        <v>5754.71</v>
      </c>
      <c r="W896" s="5">
        <v>2465.4699999999998</v>
      </c>
    </row>
    <row r="897" spans="1:23" ht="60.75">
      <c r="A897" s="3" t="s">
        <v>23</v>
      </c>
      <c r="B897" s="3" t="s">
        <v>24</v>
      </c>
      <c r="C897" s="3" t="s">
        <v>35</v>
      </c>
      <c r="D897" s="3" t="s">
        <v>43</v>
      </c>
      <c r="E897" s="3" t="s">
        <v>34</v>
      </c>
      <c r="F897" s="3" t="s">
        <v>146</v>
      </c>
      <c r="G897" s="3">
        <v>2016</v>
      </c>
      <c r="H897" s="3" t="str">
        <f>CONCATENATE("64240383923")</f>
        <v>64240383923</v>
      </c>
      <c r="I897" s="3" t="s">
        <v>25</v>
      </c>
      <c r="J897" s="3" t="s">
        <v>26</v>
      </c>
      <c r="K897" s="3" t="str">
        <f t="shared" si="34"/>
        <v/>
      </c>
      <c r="L897" s="3" t="str">
        <f>CONCATENATE("11 11.1 4b")</f>
        <v>11 11.1 4b</v>
      </c>
      <c r="M897" s="3" t="str">
        <f>CONCATENATE("DVRLBT64R52G479Q")</f>
        <v>DVRLBT64R52G479Q</v>
      </c>
      <c r="N897" s="3" t="s">
        <v>997</v>
      </c>
      <c r="O897" s="3"/>
      <c r="P897" s="4">
        <v>42783</v>
      </c>
      <c r="Q897" s="3" t="s">
        <v>27</v>
      </c>
      <c r="R897" s="3" t="s">
        <v>28</v>
      </c>
      <c r="S897" s="3" t="s">
        <v>29</v>
      </c>
      <c r="T897" s="5">
        <v>33701.870000000003</v>
      </c>
      <c r="U897" s="5">
        <v>14532.25</v>
      </c>
      <c r="V897" s="5">
        <v>13420.08</v>
      </c>
      <c r="W897" s="5">
        <v>5749.54</v>
      </c>
    </row>
    <row r="898" spans="1:23" ht="60.75">
      <c r="A898" s="3" t="s">
        <v>23</v>
      </c>
      <c r="B898" s="3" t="s">
        <v>24</v>
      </c>
      <c r="C898" s="3" t="s">
        <v>35</v>
      </c>
      <c r="D898" s="3" t="s">
        <v>36</v>
      </c>
      <c r="E898" s="3" t="s">
        <v>32</v>
      </c>
      <c r="F898" s="3" t="s">
        <v>208</v>
      </c>
      <c r="G898" s="3">
        <v>2016</v>
      </c>
      <c r="H898" s="3" t="str">
        <f>CONCATENATE("64240234969")</f>
        <v>64240234969</v>
      </c>
      <c r="I898" s="3" t="s">
        <v>25</v>
      </c>
      <c r="J898" s="3" t="s">
        <v>26</v>
      </c>
      <c r="K898" s="3" t="str">
        <f t="shared" si="34"/>
        <v/>
      </c>
      <c r="L898" s="3" t="str">
        <f>CONCATENATE("11 11.2 4b")</f>
        <v>11 11.2 4b</v>
      </c>
      <c r="M898" s="3" t="str">
        <f>CONCATENATE("CRDLGN51L03G005J")</f>
        <v>CRDLGN51L03G005J</v>
      </c>
      <c r="N898" s="3" t="s">
        <v>998</v>
      </c>
      <c r="O898" s="3"/>
      <c r="P898" s="4">
        <v>42783</v>
      </c>
      <c r="Q898" s="3" t="s">
        <v>27</v>
      </c>
      <c r="R898" s="3" t="s">
        <v>28</v>
      </c>
      <c r="S898" s="3" t="s">
        <v>29</v>
      </c>
      <c r="T898" s="3">
        <v>969.58</v>
      </c>
      <c r="U898" s="3">
        <v>418.08</v>
      </c>
      <c r="V898" s="3">
        <v>386.09</v>
      </c>
      <c r="W898" s="3">
        <v>165.41</v>
      </c>
    </row>
    <row r="899" spans="1:23" ht="60.75">
      <c r="A899" s="3" t="s">
        <v>23</v>
      </c>
      <c r="B899" s="3" t="s">
        <v>24</v>
      </c>
      <c r="C899" s="3" t="s">
        <v>35</v>
      </c>
      <c r="D899" s="3" t="s">
        <v>48</v>
      </c>
      <c r="E899" s="3" t="s">
        <v>34</v>
      </c>
      <c r="F899" s="3" t="s">
        <v>141</v>
      </c>
      <c r="G899" s="3">
        <v>2016</v>
      </c>
      <c r="H899" s="3" t="str">
        <f>CONCATENATE("64240565792")</f>
        <v>64240565792</v>
      </c>
      <c r="I899" s="3" t="s">
        <v>25</v>
      </c>
      <c r="J899" s="3" t="s">
        <v>26</v>
      </c>
      <c r="K899" s="3" t="str">
        <f t="shared" si="34"/>
        <v/>
      </c>
      <c r="L899" s="3" t="str">
        <f>CONCATENATE("11 11.2 4b")</f>
        <v>11 11.2 4b</v>
      </c>
      <c r="M899" s="3" t="str">
        <f>CONCATENATE("CTTLBT63E43G478R")</f>
        <v>CTTLBT63E43G478R</v>
      </c>
      <c r="N899" s="3" t="s">
        <v>999</v>
      </c>
      <c r="O899" s="3"/>
      <c r="P899" s="4">
        <v>42783</v>
      </c>
      <c r="Q899" s="3" t="s">
        <v>27</v>
      </c>
      <c r="R899" s="3" t="s">
        <v>28</v>
      </c>
      <c r="S899" s="3" t="s">
        <v>29</v>
      </c>
      <c r="T899" s="5">
        <v>1448.83</v>
      </c>
      <c r="U899" s="3">
        <v>624.74</v>
      </c>
      <c r="V899" s="3">
        <v>576.91999999999996</v>
      </c>
      <c r="W899" s="3">
        <v>247.17</v>
      </c>
    </row>
    <row r="900" spans="1:23" ht="60.75">
      <c r="A900" s="3" t="s">
        <v>23</v>
      </c>
      <c r="B900" s="3" t="s">
        <v>24</v>
      </c>
      <c r="C900" s="3" t="s">
        <v>35</v>
      </c>
      <c r="D900" s="3" t="s">
        <v>43</v>
      </c>
      <c r="E900" s="3" t="s">
        <v>30</v>
      </c>
      <c r="F900" s="3" t="s">
        <v>124</v>
      </c>
      <c r="G900" s="3">
        <v>2016</v>
      </c>
      <c r="H900" s="3" t="str">
        <f>CONCATENATE("64210280380")</f>
        <v>64210280380</v>
      </c>
      <c r="I900" s="3" t="s">
        <v>25</v>
      </c>
      <c r="J900" s="3" t="s">
        <v>26</v>
      </c>
      <c r="K900" s="3" t="str">
        <f t="shared" si="34"/>
        <v/>
      </c>
      <c r="L900" s="3" t="str">
        <f>CONCATENATE("13 13.1 4a")</f>
        <v>13 13.1 4a</v>
      </c>
      <c r="M900" s="3" t="str">
        <f>CONCATENATE("FNCLRT58H17B026O")</f>
        <v>FNCLRT58H17B026O</v>
      </c>
      <c r="N900" s="3" t="s">
        <v>1000</v>
      </c>
      <c r="O900" s="3"/>
      <c r="P900" s="4">
        <v>42783</v>
      </c>
      <c r="Q900" s="3" t="s">
        <v>27</v>
      </c>
      <c r="R900" s="3" t="s">
        <v>28</v>
      </c>
      <c r="S900" s="3" t="s">
        <v>29</v>
      </c>
      <c r="T900" s="5">
        <v>1344.53</v>
      </c>
      <c r="U900" s="3">
        <v>579.76</v>
      </c>
      <c r="V900" s="3">
        <v>535.39</v>
      </c>
      <c r="W900" s="3">
        <v>229.38</v>
      </c>
    </row>
    <row r="901" spans="1:23" ht="60.75">
      <c r="A901" s="3" t="s">
        <v>23</v>
      </c>
      <c r="B901" s="3" t="s">
        <v>24</v>
      </c>
      <c r="C901" s="3" t="s">
        <v>35</v>
      </c>
      <c r="D901" s="3" t="s">
        <v>43</v>
      </c>
      <c r="E901" s="3" t="s">
        <v>30</v>
      </c>
      <c r="F901" s="3" t="s">
        <v>113</v>
      </c>
      <c r="G901" s="3">
        <v>2016</v>
      </c>
      <c r="H901" s="3" t="str">
        <f>CONCATENATE("64211013319")</f>
        <v>64211013319</v>
      </c>
      <c r="I901" s="3" t="s">
        <v>25</v>
      </c>
      <c r="J901" s="3" t="s">
        <v>26</v>
      </c>
      <c r="K901" s="3" t="str">
        <f t="shared" si="34"/>
        <v/>
      </c>
      <c r="L901" s="3" t="str">
        <f>CONCATENATE("13 13.1 4a")</f>
        <v>13 13.1 4a</v>
      </c>
      <c r="M901" s="3" t="str">
        <f>CONCATENATE("NCLLLL58M44B352S")</f>
        <v>NCLLLL58M44B352S</v>
      </c>
      <c r="N901" s="3" t="s">
        <v>1001</v>
      </c>
      <c r="O901" s="3"/>
      <c r="P901" s="4">
        <v>42783</v>
      </c>
      <c r="Q901" s="3" t="s">
        <v>27</v>
      </c>
      <c r="R901" s="3" t="s">
        <v>28</v>
      </c>
      <c r="S901" s="3" t="s">
        <v>29</v>
      </c>
      <c r="T901" s="5">
        <v>1097.99</v>
      </c>
      <c r="U901" s="3">
        <v>473.45</v>
      </c>
      <c r="V901" s="3">
        <v>437.22</v>
      </c>
      <c r="W901" s="3">
        <v>187.32</v>
      </c>
    </row>
    <row r="902" spans="1:23" ht="36.75">
      <c r="A902" s="3" t="s">
        <v>23</v>
      </c>
      <c r="B902" s="3" t="s">
        <v>24</v>
      </c>
      <c r="C902" s="3" t="s">
        <v>35</v>
      </c>
      <c r="D902" s="3" t="s">
        <v>48</v>
      </c>
      <c r="E902" s="3" t="s">
        <v>30</v>
      </c>
      <c r="F902" s="3" t="s">
        <v>91</v>
      </c>
      <c r="G902" s="3">
        <v>2016</v>
      </c>
      <c r="H902" s="3" t="str">
        <f>CONCATENATE("64240319364")</f>
        <v>64240319364</v>
      </c>
      <c r="I902" s="3" t="s">
        <v>25</v>
      </c>
      <c r="J902" s="3" t="s">
        <v>26</v>
      </c>
      <c r="K902" s="3" t="str">
        <f t="shared" si="34"/>
        <v/>
      </c>
      <c r="L902" s="3" t="str">
        <f>CONCATENATE("11 11.2 4b")</f>
        <v>11 11.2 4b</v>
      </c>
      <c r="M902" s="3" t="str">
        <f>CONCATENATE("81000380436")</f>
        <v>81000380436</v>
      </c>
      <c r="N902" s="3" t="s">
        <v>1002</v>
      </c>
      <c r="O902" s="3"/>
      <c r="P902" s="4">
        <v>42783</v>
      </c>
      <c r="Q902" s="3" t="s">
        <v>27</v>
      </c>
      <c r="R902" s="3" t="s">
        <v>28</v>
      </c>
      <c r="S902" s="3" t="s">
        <v>29</v>
      </c>
      <c r="T902" s="5">
        <v>11962.34</v>
      </c>
      <c r="U902" s="5">
        <v>5158.16</v>
      </c>
      <c r="V902" s="5">
        <v>4763.3999999999996</v>
      </c>
      <c r="W902" s="5">
        <v>2040.78</v>
      </c>
    </row>
    <row r="903" spans="1:23" ht="36.75">
      <c r="A903" s="3" t="s">
        <v>23</v>
      </c>
      <c r="B903" s="3" t="s">
        <v>24</v>
      </c>
      <c r="C903" s="3" t="s">
        <v>35</v>
      </c>
      <c r="D903" s="3" t="s">
        <v>43</v>
      </c>
      <c r="E903" s="3" t="s">
        <v>33</v>
      </c>
      <c r="F903" s="3" t="s">
        <v>122</v>
      </c>
      <c r="G903" s="3">
        <v>2016</v>
      </c>
      <c r="H903" s="3" t="str">
        <f>CONCATENATE("64240801346")</f>
        <v>64240801346</v>
      </c>
      <c r="I903" s="3" t="s">
        <v>25</v>
      </c>
      <c r="J903" s="3" t="s">
        <v>26</v>
      </c>
      <c r="K903" s="3" t="str">
        <f t="shared" si="34"/>
        <v/>
      </c>
      <c r="L903" s="3" t="str">
        <f>CONCATENATE("11 11.2 4b")</f>
        <v>11 11.2 4b</v>
      </c>
      <c r="M903" s="3" t="str">
        <f>CONCATENATE("01134880416")</f>
        <v>01134880416</v>
      </c>
      <c r="N903" s="3" t="s">
        <v>1003</v>
      </c>
      <c r="O903" s="3"/>
      <c r="P903" s="4">
        <v>42783</v>
      </c>
      <c r="Q903" s="3" t="s">
        <v>27</v>
      </c>
      <c r="R903" s="3" t="s">
        <v>28</v>
      </c>
      <c r="S903" s="3" t="s">
        <v>29</v>
      </c>
      <c r="T903" s="5">
        <v>2831.11</v>
      </c>
      <c r="U903" s="5">
        <v>1220.77</v>
      </c>
      <c r="V903" s="5">
        <v>1127.3499999999999</v>
      </c>
      <c r="W903" s="3">
        <v>482.99</v>
      </c>
    </row>
    <row r="904" spans="1:23" ht="60.75">
      <c r="A904" s="3" t="s">
        <v>23</v>
      </c>
      <c r="B904" s="3" t="s">
        <v>24</v>
      </c>
      <c r="C904" s="3" t="s">
        <v>35</v>
      </c>
      <c r="D904" s="3" t="s">
        <v>39</v>
      </c>
      <c r="E904" s="3" t="s">
        <v>30</v>
      </c>
      <c r="F904" s="3" t="s">
        <v>40</v>
      </c>
      <c r="G904" s="3">
        <v>2016</v>
      </c>
      <c r="H904" s="3" t="str">
        <f>CONCATENATE("64240527636")</f>
        <v>64240527636</v>
      </c>
      <c r="I904" s="3" t="s">
        <v>25</v>
      </c>
      <c r="J904" s="3" t="s">
        <v>26</v>
      </c>
      <c r="K904" s="3" t="str">
        <f t="shared" si="34"/>
        <v/>
      </c>
      <c r="L904" s="3" t="str">
        <f>CONCATENATE("11 11.1 4b")</f>
        <v>11 11.1 4b</v>
      </c>
      <c r="M904" s="3" t="str">
        <f>CONCATENATE("NGLLCU86C06E388T")</f>
        <v>NGLLCU86C06E388T</v>
      </c>
      <c r="N904" s="3" t="s">
        <v>1004</v>
      </c>
      <c r="O904" s="3"/>
      <c r="P904" s="4">
        <v>42783</v>
      </c>
      <c r="Q904" s="3" t="s">
        <v>27</v>
      </c>
      <c r="R904" s="3" t="s">
        <v>28</v>
      </c>
      <c r="S904" s="3" t="s">
        <v>29</v>
      </c>
      <c r="T904" s="5">
        <v>4259.34</v>
      </c>
      <c r="U904" s="5">
        <v>1836.63</v>
      </c>
      <c r="V904" s="5">
        <v>1696.07</v>
      </c>
      <c r="W904" s="3">
        <v>726.64</v>
      </c>
    </row>
    <row r="905" spans="1:23" ht="36.75">
      <c r="A905" s="3" t="s">
        <v>23</v>
      </c>
      <c r="B905" s="3" t="s">
        <v>24</v>
      </c>
      <c r="C905" s="3" t="s">
        <v>35</v>
      </c>
      <c r="D905" s="3" t="s">
        <v>48</v>
      </c>
      <c r="E905" s="3" t="s">
        <v>30</v>
      </c>
      <c r="F905" s="3" t="s">
        <v>111</v>
      </c>
      <c r="G905" s="3">
        <v>2016</v>
      </c>
      <c r="H905" s="3" t="str">
        <f>CONCATENATE("64240921417")</f>
        <v>64240921417</v>
      </c>
      <c r="I905" s="3" t="s">
        <v>25</v>
      </c>
      <c r="J905" s="3" t="s">
        <v>26</v>
      </c>
      <c r="K905" s="3" t="str">
        <f t="shared" si="34"/>
        <v/>
      </c>
      <c r="L905" s="3" t="str">
        <f>CONCATENATE("11 11.2 4b")</f>
        <v>11 11.2 4b</v>
      </c>
      <c r="M905" s="3" t="str">
        <f>CONCATENATE("01625300437")</f>
        <v>01625300437</v>
      </c>
      <c r="N905" s="3" t="s">
        <v>1005</v>
      </c>
      <c r="O905" s="3"/>
      <c r="P905" s="4">
        <v>42783</v>
      </c>
      <c r="Q905" s="3" t="s">
        <v>27</v>
      </c>
      <c r="R905" s="3" t="s">
        <v>28</v>
      </c>
      <c r="S905" s="3" t="s">
        <v>29</v>
      </c>
      <c r="T905" s="3">
        <v>591.53</v>
      </c>
      <c r="U905" s="3">
        <v>255.07</v>
      </c>
      <c r="V905" s="3">
        <v>235.55</v>
      </c>
      <c r="W905" s="3">
        <v>100.91</v>
      </c>
    </row>
    <row r="906" spans="1:23" ht="60.75">
      <c r="A906" s="3" t="s">
        <v>23</v>
      </c>
      <c r="B906" s="3" t="s">
        <v>24</v>
      </c>
      <c r="C906" s="3" t="s">
        <v>35</v>
      </c>
      <c r="D906" s="3" t="s">
        <v>43</v>
      </c>
      <c r="E906" s="3" t="s">
        <v>30</v>
      </c>
      <c r="F906" s="3" t="s">
        <v>76</v>
      </c>
      <c r="G906" s="3">
        <v>2016</v>
      </c>
      <c r="H906" s="3" t="str">
        <f>CONCATENATE("64210107203")</f>
        <v>64210107203</v>
      </c>
      <c r="I906" s="3" t="s">
        <v>25</v>
      </c>
      <c r="J906" s="3" t="s">
        <v>26</v>
      </c>
      <c r="K906" s="3" t="str">
        <f t="shared" si="34"/>
        <v/>
      </c>
      <c r="L906" s="3" t="str">
        <f>CONCATENATE("13 13.1 4a")</f>
        <v>13 13.1 4a</v>
      </c>
      <c r="M906" s="3" t="str">
        <f>CONCATENATE("TMBMGS50L57I459X")</f>
        <v>TMBMGS50L57I459X</v>
      </c>
      <c r="N906" s="3" t="s">
        <v>1006</v>
      </c>
      <c r="O906" s="3"/>
      <c r="P906" s="4">
        <v>42783</v>
      </c>
      <c r="Q906" s="3" t="s">
        <v>27</v>
      </c>
      <c r="R906" s="3" t="s">
        <v>28</v>
      </c>
      <c r="S906" s="3" t="s">
        <v>29</v>
      </c>
      <c r="T906" s="5">
        <v>2073.4499999999998</v>
      </c>
      <c r="U906" s="3">
        <v>894.07</v>
      </c>
      <c r="V906" s="3">
        <v>825.65</v>
      </c>
      <c r="W906" s="3">
        <v>353.73</v>
      </c>
    </row>
    <row r="907" spans="1:23" ht="72.75">
      <c r="A907" s="3" t="s">
        <v>23</v>
      </c>
      <c r="B907" s="3" t="s">
        <v>24</v>
      </c>
      <c r="C907" s="3" t="s">
        <v>35</v>
      </c>
      <c r="D907" s="3" t="s">
        <v>39</v>
      </c>
      <c r="E907" s="3" t="s">
        <v>30</v>
      </c>
      <c r="F907" s="3" t="s">
        <v>40</v>
      </c>
      <c r="G907" s="3">
        <v>2016</v>
      </c>
      <c r="H907" s="3" t="str">
        <f>CONCATENATE("64240529764")</f>
        <v>64240529764</v>
      </c>
      <c r="I907" s="3" t="s">
        <v>25</v>
      </c>
      <c r="J907" s="3" t="s">
        <v>26</v>
      </c>
      <c r="K907" s="3" t="str">
        <f t="shared" si="34"/>
        <v/>
      </c>
      <c r="L907" s="3" t="str">
        <f>CONCATENATE("11 11.2 4b")</f>
        <v>11 11.2 4b</v>
      </c>
      <c r="M907" s="3" t="str">
        <f>CONCATENATE("GHSMHL71A13H501R")</f>
        <v>GHSMHL71A13H501R</v>
      </c>
      <c r="N907" s="3" t="s">
        <v>1007</v>
      </c>
      <c r="O907" s="3"/>
      <c r="P907" s="4">
        <v>42783</v>
      </c>
      <c r="Q907" s="3" t="s">
        <v>27</v>
      </c>
      <c r="R907" s="3" t="s">
        <v>28</v>
      </c>
      <c r="S907" s="3" t="s">
        <v>29</v>
      </c>
      <c r="T907" s="5">
        <v>2721.72</v>
      </c>
      <c r="U907" s="5">
        <v>1173.6099999999999</v>
      </c>
      <c r="V907" s="5">
        <v>1083.79</v>
      </c>
      <c r="W907" s="3">
        <v>464.32</v>
      </c>
    </row>
    <row r="908" spans="1:23" ht="60.75">
      <c r="A908" s="3" t="s">
        <v>23</v>
      </c>
      <c r="B908" s="3" t="s">
        <v>24</v>
      </c>
      <c r="C908" s="3" t="s">
        <v>35</v>
      </c>
      <c r="D908" s="3" t="s">
        <v>36</v>
      </c>
      <c r="E908" s="3" t="s">
        <v>189</v>
      </c>
      <c r="F908" s="3" t="s">
        <v>1008</v>
      </c>
      <c r="G908" s="3">
        <v>2016</v>
      </c>
      <c r="H908" s="3" t="str">
        <f>CONCATENATE("64240666897")</f>
        <v>64240666897</v>
      </c>
      <c r="I908" s="3" t="s">
        <v>25</v>
      </c>
      <c r="J908" s="3" t="s">
        <v>26</v>
      </c>
      <c r="K908" s="3" t="str">
        <f t="shared" si="34"/>
        <v/>
      </c>
      <c r="L908" s="3" t="str">
        <f>CONCATENATE("11 11.2 4b")</f>
        <v>11 11.2 4b</v>
      </c>
      <c r="M908" s="3" t="str">
        <f>CONCATENATE("PTRGNN69D15A462E")</f>
        <v>PTRGNN69D15A462E</v>
      </c>
      <c r="N908" s="3" t="s">
        <v>1009</v>
      </c>
      <c r="O908" s="3"/>
      <c r="P908" s="4">
        <v>42783</v>
      </c>
      <c r="Q908" s="3" t="s">
        <v>27</v>
      </c>
      <c r="R908" s="3" t="s">
        <v>28</v>
      </c>
      <c r="S908" s="3" t="s">
        <v>29</v>
      </c>
      <c r="T908" s="5">
        <v>3238.45</v>
      </c>
      <c r="U908" s="5">
        <v>1396.42</v>
      </c>
      <c r="V908" s="5">
        <v>1289.55</v>
      </c>
      <c r="W908" s="3">
        <v>552.48</v>
      </c>
    </row>
    <row r="909" spans="1:23" ht="60.75">
      <c r="A909" s="3" t="s">
        <v>23</v>
      </c>
      <c r="B909" s="3" t="s">
        <v>24</v>
      </c>
      <c r="C909" s="3" t="s">
        <v>35</v>
      </c>
      <c r="D909" s="3" t="s">
        <v>43</v>
      </c>
      <c r="E909" s="3" t="s">
        <v>33</v>
      </c>
      <c r="F909" s="3" t="s">
        <v>848</v>
      </c>
      <c r="G909" s="3">
        <v>2016</v>
      </c>
      <c r="H909" s="3" t="str">
        <f>CONCATENATE("64240617254")</f>
        <v>64240617254</v>
      </c>
      <c r="I909" s="3" t="s">
        <v>25</v>
      </c>
      <c r="J909" s="3" t="s">
        <v>26</v>
      </c>
      <c r="K909" s="3" t="str">
        <f t="shared" si="34"/>
        <v/>
      </c>
      <c r="L909" s="3" t="str">
        <f>CONCATENATE("11 11.1 4b")</f>
        <v>11 11.1 4b</v>
      </c>
      <c r="M909" s="3" t="str">
        <f>CONCATENATE("MSCMRC73P24D749M")</f>
        <v>MSCMRC73P24D749M</v>
      </c>
      <c r="N909" s="3" t="s">
        <v>1010</v>
      </c>
      <c r="O909" s="3"/>
      <c r="P909" s="4">
        <v>42783</v>
      </c>
      <c r="Q909" s="3" t="s">
        <v>27</v>
      </c>
      <c r="R909" s="3" t="s">
        <v>28</v>
      </c>
      <c r="S909" s="3" t="s">
        <v>29</v>
      </c>
      <c r="T909" s="5">
        <v>1892.84</v>
      </c>
      <c r="U909" s="3">
        <v>816.19</v>
      </c>
      <c r="V909" s="3">
        <v>753.73</v>
      </c>
      <c r="W909" s="3">
        <v>322.92</v>
      </c>
    </row>
    <row r="910" spans="1:23" ht="60.75">
      <c r="A910" s="3" t="s">
        <v>23</v>
      </c>
      <c r="B910" s="3" t="s">
        <v>24</v>
      </c>
      <c r="C910" s="3" t="s">
        <v>35</v>
      </c>
      <c r="D910" s="3" t="s">
        <v>48</v>
      </c>
      <c r="E910" s="3" t="s">
        <v>30</v>
      </c>
      <c r="F910" s="3" t="s">
        <v>236</v>
      </c>
      <c r="G910" s="3">
        <v>2016</v>
      </c>
      <c r="H910" s="3" t="str">
        <f>CONCATENATE("64240729190")</f>
        <v>64240729190</v>
      </c>
      <c r="I910" s="3" t="s">
        <v>25</v>
      </c>
      <c r="J910" s="3" t="s">
        <v>26</v>
      </c>
      <c r="K910" s="3" t="str">
        <f t="shared" si="34"/>
        <v/>
      </c>
      <c r="L910" s="3" t="str">
        <f>CONCATENATE("11 11.2 4b")</f>
        <v>11 11.2 4b</v>
      </c>
      <c r="M910" s="3" t="str">
        <f>CONCATENATE("PRSLGU56C11A329D")</f>
        <v>PRSLGU56C11A329D</v>
      </c>
      <c r="N910" s="3" t="s">
        <v>1011</v>
      </c>
      <c r="O910" s="3"/>
      <c r="P910" s="4">
        <v>42783</v>
      </c>
      <c r="Q910" s="3" t="s">
        <v>27</v>
      </c>
      <c r="R910" s="3" t="s">
        <v>28</v>
      </c>
      <c r="S910" s="3" t="s">
        <v>29</v>
      </c>
      <c r="T910" s="5">
        <v>2492.2800000000002</v>
      </c>
      <c r="U910" s="5">
        <v>1074.67</v>
      </c>
      <c r="V910" s="3">
        <v>992.43</v>
      </c>
      <c r="W910" s="3">
        <v>425.18</v>
      </c>
    </row>
    <row r="911" spans="1:23" ht="72.75">
      <c r="A911" s="3" t="s">
        <v>23</v>
      </c>
      <c r="B911" s="3" t="s">
        <v>24</v>
      </c>
      <c r="C911" s="3" t="s">
        <v>35</v>
      </c>
      <c r="D911" s="3" t="s">
        <v>36</v>
      </c>
      <c r="E911" s="3" t="s">
        <v>32</v>
      </c>
      <c r="F911" s="3" t="s">
        <v>208</v>
      </c>
      <c r="G911" s="3">
        <v>2016</v>
      </c>
      <c r="H911" s="3" t="str">
        <f>CONCATENATE("64240215364")</f>
        <v>64240215364</v>
      </c>
      <c r="I911" s="3" t="s">
        <v>25</v>
      </c>
      <c r="J911" s="3" t="s">
        <v>26</v>
      </c>
      <c r="K911" s="3" t="str">
        <f t="shared" si="34"/>
        <v/>
      </c>
      <c r="L911" s="3" t="str">
        <f>CONCATENATE("11 11.2 4b")</f>
        <v>11 11.2 4b</v>
      </c>
      <c r="M911" s="3" t="str">
        <f>CONCATENATE("MRZLNM47R62A335D")</f>
        <v>MRZLNM47R62A335D</v>
      </c>
      <c r="N911" s="3" t="s">
        <v>1012</v>
      </c>
      <c r="O911" s="3"/>
      <c r="P911" s="4">
        <v>42783</v>
      </c>
      <c r="Q911" s="3" t="s">
        <v>27</v>
      </c>
      <c r="R911" s="3" t="s">
        <v>28</v>
      </c>
      <c r="S911" s="3" t="s">
        <v>29</v>
      </c>
      <c r="T911" s="5">
        <v>3799.54</v>
      </c>
      <c r="U911" s="5">
        <v>1638.36</v>
      </c>
      <c r="V911" s="5">
        <v>1512.98</v>
      </c>
      <c r="W911" s="3">
        <v>648.20000000000005</v>
      </c>
    </row>
    <row r="912" spans="1:23" ht="60.75">
      <c r="A912" s="3" t="s">
        <v>23</v>
      </c>
      <c r="B912" s="3" t="s">
        <v>24</v>
      </c>
      <c r="C912" s="3" t="s">
        <v>35</v>
      </c>
      <c r="D912" s="3" t="s">
        <v>48</v>
      </c>
      <c r="E912" s="3" t="s">
        <v>33</v>
      </c>
      <c r="F912" s="3" t="s">
        <v>160</v>
      </c>
      <c r="G912" s="3">
        <v>2016</v>
      </c>
      <c r="H912" s="3" t="str">
        <f>CONCATENATE("64240587309")</f>
        <v>64240587309</v>
      </c>
      <c r="I912" s="3" t="s">
        <v>25</v>
      </c>
      <c r="J912" s="3" t="s">
        <v>26</v>
      </c>
      <c r="K912" s="3" t="str">
        <f t="shared" si="34"/>
        <v/>
      </c>
      <c r="L912" s="3" t="str">
        <f>CONCATENATE("11 11.2 4b")</f>
        <v>11 11.2 4b</v>
      </c>
      <c r="M912" s="3" t="str">
        <f>CONCATENATE("MNCLCN49C44A334Q")</f>
        <v>MNCLCN49C44A334Q</v>
      </c>
      <c r="N912" s="3" t="s">
        <v>1013</v>
      </c>
      <c r="O912" s="3"/>
      <c r="P912" s="4">
        <v>42783</v>
      </c>
      <c r="Q912" s="3" t="s">
        <v>27</v>
      </c>
      <c r="R912" s="3" t="s">
        <v>28</v>
      </c>
      <c r="S912" s="3" t="s">
        <v>29</v>
      </c>
      <c r="T912" s="5">
        <v>10898.59</v>
      </c>
      <c r="U912" s="5">
        <v>4699.47</v>
      </c>
      <c r="V912" s="5">
        <v>4339.82</v>
      </c>
      <c r="W912" s="5">
        <v>1859.3</v>
      </c>
    </row>
    <row r="913" spans="1:23" ht="36.75">
      <c r="A913" s="3" t="s">
        <v>23</v>
      </c>
      <c r="B913" s="3" t="s">
        <v>24</v>
      </c>
      <c r="C913" s="3" t="s">
        <v>35</v>
      </c>
      <c r="D913" s="3" t="s">
        <v>48</v>
      </c>
      <c r="E913" s="3" t="s">
        <v>49</v>
      </c>
      <c r="F913" s="3" t="s">
        <v>80</v>
      </c>
      <c r="G913" s="3">
        <v>2016</v>
      </c>
      <c r="H913" s="3" t="str">
        <f>CONCATENATE("64210677155")</f>
        <v>64210677155</v>
      </c>
      <c r="I913" s="3" t="s">
        <v>25</v>
      </c>
      <c r="J913" s="3" t="s">
        <v>26</v>
      </c>
      <c r="K913" s="3" t="str">
        <f t="shared" si="34"/>
        <v/>
      </c>
      <c r="L913" s="3" t="str">
        <f>CONCATENATE("13 13.1 4a")</f>
        <v>13 13.1 4a</v>
      </c>
      <c r="M913" s="3" t="str">
        <f>CONCATENATE("01222440438")</f>
        <v>01222440438</v>
      </c>
      <c r="N913" s="3" t="s">
        <v>1014</v>
      </c>
      <c r="O913" s="3"/>
      <c r="P913" s="4">
        <v>42783</v>
      </c>
      <c r="Q913" s="3" t="s">
        <v>27</v>
      </c>
      <c r="R913" s="3" t="s">
        <v>28</v>
      </c>
      <c r="S913" s="3" t="s">
        <v>29</v>
      </c>
      <c r="T913" s="5">
        <v>3769.27</v>
      </c>
      <c r="U913" s="5">
        <v>1625.31</v>
      </c>
      <c r="V913" s="5">
        <v>1500.92</v>
      </c>
      <c r="W913" s="3">
        <v>643.04</v>
      </c>
    </row>
    <row r="914" spans="1:23" ht="36.75">
      <c r="A914" s="3" t="s">
        <v>23</v>
      </c>
      <c r="B914" s="3" t="s">
        <v>24</v>
      </c>
      <c r="C914" s="3" t="s">
        <v>35</v>
      </c>
      <c r="D914" s="3" t="s">
        <v>48</v>
      </c>
      <c r="E914" s="3" t="s">
        <v>135</v>
      </c>
      <c r="F914" s="3" t="s">
        <v>136</v>
      </c>
      <c r="G914" s="3">
        <v>2016</v>
      </c>
      <c r="H914" s="3" t="str">
        <f>CONCATENATE("64240518395")</f>
        <v>64240518395</v>
      </c>
      <c r="I914" s="3" t="s">
        <v>25</v>
      </c>
      <c r="J914" s="3" t="s">
        <v>26</v>
      </c>
      <c r="K914" s="3" t="str">
        <f t="shared" si="34"/>
        <v/>
      </c>
      <c r="L914" s="3" t="str">
        <f>CONCATENATE("11 11.1 4b")</f>
        <v>11 11.1 4b</v>
      </c>
      <c r="M914" s="3" t="str">
        <f>CONCATENATE("01901610434")</f>
        <v>01901610434</v>
      </c>
      <c r="N914" s="3" t="s">
        <v>1015</v>
      </c>
      <c r="O914" s="3"/>
      <c r="P914" s="4">
        <v>42783</v>
      </c>
      <c r="Q914" s="3" t="s">
        <v>27</v>
      </c>
      <c r="R914" s="3" t="s">
        <v>28</v>
      </c>
      <c r="S914" s="3" t="s">
        <v>29</v>
      </c>
      <c r="T914" s="5">
        <v>17354.64</v>
      </c>
      <c r="U914" s="5">
        <v>7483.32</v>
      </c>
      <c r="V914" s="5">
        <v>6910.62</v>
      </c>
      <c r="W914" s="5">
        <v>2960.7</v>
      </c>
    </row>
    <row r="915" spans="1:23" ht="60.75">
      <c r="A915" s="3" t="s">
        <v>23</v>
      </c>
      <c r="B915" s="3" t="s">
        <v>24</v>
      </c>
      <c r="C915" s="3" t="s">
        <v>35</v>
      </c>
      <c r="D915" s="3" t="s">
        <v>48</v>
      </c>
      <c r="E915" s="3" t="s">
        <v>30</v>
      </c>
      <c r="F915" s="3" t="s">
        <v>91</v>
      </c>
      <c r="G915" s="3">
        <v>2016</v>
      </c>
      <c r="H915" s="3" t="str">
        <f>CONCATENATE("64240321378")</f>
        <v>64240321378</v>
      </c>
      <c r="I915" s="3" t="s">
        <v>25</v>
      </c>
      <c r="J915" s="3" t="s">
        <v>26</v>
      </c>
      <c r="K915" s="3" t="str">
        <f t="shared" si="34"/>
        <v/>
      </c>
      <c r="L915" s="3" t="str">
        <f>CONCATENATE("11 11.2 4b")</f>
        <v>11 11.2 4b</v>
      </c>
      <c r="M915" s="3" t="str">
        <f>CONCATENATE("TRTRNN46S55C524K")</f>
        <v>TRTRNN46S55C524K</v>
      </c>
      <c r="N915" s="3" t="s">
        <v>1016</v>
      </c>
      <c r="O915" s="3"/>
      <c r="P915" s="4">
        <v>42783</v>
      </c>
      <c r="Q915" s="3" t="s">
        <v>27</v>
      </c>
      <c r="R915" s="3" t="s">
        <v>28</v>
      </c>
      <c r="S915" s="3" t="s">
        <v>29</v>
      </c>
      <c r="T915" s="5">
        <v>2321.2199999999998</v>
      </c>
      <c r="U915" s="5">
        <v>1000.91</v>
      </c>
      <c r="V915" s="3">
        <v>924.31</v>
      </c>
      <c r="W915" s="3">
        <v>396</v>
      </c>
    </row>
    <row r="916" spans="1:23" ht="60.75">
      <c r="A916" s="3" t="s">
        <v>23</v>
      </c>
      <c r="B916" s="3" t="s">
        <v>24</v>
      </c>
      <c r="C916" s="3" t="s">
        <v>35</v>
      </c>
      <c r="D916" s="3" t="s">
        <v>36</v>
      </c>
      <c r="E916" s="3" t="s">
        <v>30</v>
      </c>
      <c r="F916" s="3" t="s">
        <v>86</v>
      </c>
      <c r="G916" s="3">
        <v>2016</v>
      </c>
      <c r="H916" s="3" t="str">
        <f>CONCATENATE("64211087701")</f>
        <v>64211087701</v>
      </c>
      <c r="I916" s="3" t="s">
        <v>25</v>
      </c>
      <c r="J916" s="3" t="s">
        <v>26</v>
      </c>
      <c r="K916" s="3" t="str">
        <f t="shared" si="34"/>
        <v/>
      </c>
      <c r="L916" s="3" t="str">
        <f>CONCATENATE("13 13.1 4a")</f>
        <v>13 13.1 4a</v>
      </c>
      <c r="M916" s="3" t="str">
        <f>CONCATENATE("PRTFNC50A28F516A")</f>
        <v>PRTFNC50A28F516A</v>
      </c>
      <c r="N916" s="3" t="s">
        <v>1017</v>
      </c>
      <c r="O916" s="3"/>
      <c r="P916" s="4">
        <v>42783</v>
      </c>
      <c r="Q916" s="3" t="s">
        <v>27</v>
      </c>
      <c r="R916" s="3" t="s">
        <v>28</v>
      </c>
      <c r="S916" s="3" t="s">
        <v>29</v>
      </c>
      <c r="T916" s="3">
        <v>414.58</v>
      </c>
      <c r="U916" s="3">
        <v>178.77</v>
      </c>
      <c r="V916" s="3">
        <v>165.09</v>
      </c>
      <c r="W916" s="3">
        <v>70.72</v>
      </c>
    </row>
    <row r="917" spans="1:23" ht="60.75">
      <c r="A917" s="3" t="s">
        <v>23</v>
      </c>
      <c r="B917" s="3" t="s">
        <v>24</v>
      </c>
      <c r="C917" s="3" t="s">
        <v>35</v>
      </c>
      <c r="D917" s="3" t="s">
        <v>36</v>
      </c>
      <c r="E917" s="3" t="s">
        <v>32</v>
      </c>
      <c r="F917" s="3" t="s">
        <v>208</v>
      </c>
      <c r="G917" s="3">
        <v>2016</v>
      </c>
      <c r="H917" s="3" t="str">
        <f>CONCATENATE("64240558904")</f>
        <v>64240558904</v>
      </c>
      <c r="I917" s="3" t="s">
        <v>25</v>
      </c>
      <c r="J917" s="3" t="s">
        <v>26</v>
      </c>
      <c r="K917" s="3" t="str">
        <f t="shared" si="34"/>
        <v/>
      </c>
      <c r="L917" s="3" t="str">
        <f>CONCATENATE("10 10.1 4b")</f>
        <v>10 10.1 4b</v>
      </c>
      <c r="M917" s="3" t="str">
        <f>CONCATENATE("VTLGRL78T27G516V")</f>
        <v>VTLGRL78T27G516V</v>
      </c>
      <c r="N917" s="3" t="s">
        <v>1018</v>
      </c>
      <c r="O917" s="3"/>
      <c r="P917" s="4">
        <v>42783</v>
      </c>
      <c r="Q917" s="3" t="s">
        <v>27</v>
      </c>
      <c r="R917" s="3" t="s">
        <v>28</v>
      </c>
      <c r="S917" s="3" t="s">
        <v>29</v>
      </c>
      <c r="T917" s="5">
        <v>7278.72</v>
      </c>
      <c r="U917" s="5">
        <v>3138.58</v>
      </c>
      <c r="V917" s="5">
        <v>2898.39</v>
      </c>
      <c r="W917" s="5">
        <v>1241.75</v>
      </c>
    </row>
    <row r="918" spans="1:23" ht="60.75">
      <c r="A918" s="3" t="s">
        <v>23</v>
      </c>
      <c r="B918" s="3" t="s">
        <v>24</v>
      </c>
      <c r="C918" s="3" t="s">
        <v>35</v>
      </c>
      <c r="D918" s="3" t="s">
        <v>36</v>
      </c>
      <c r="E918" s="3" t="s">
        <v>32</v>
      </c>
      <c r="F918" s="3" t="s">
        <v>65</v>
      </c>
      <c r="G918" s="3">
        <v>2016</v>
      </c>
      <c r="H918" s="3" t="str">
        <f>CONCATENATE("64240669719")</f>
        <v>64240669719</v>
      </c>
      <c r="I918" s="3" t="s">
        <v>25</v>
      </c>
      <c r="J918" s="3" t="s">
        <v>26</v>
      </c>
      <c r="K918" s="3" t="str">
        <f t="shared" si="34"/>
        <v/>
      </c>
      <c r="L918" s="3" t="str">
        <f>CONCATENATE("11 11.2 4b")</f>
        <v>11 11.2 4b</v>
      </c>
      <c r="M918" s="3" t="str">
        <f>CONCATENATE("GLAFNN40S17E868W")</f>
        <v>GLAFNN40S17E868W</v>
      </c>
      <c r="N918" s="3" t="s">
        <v>1019</v>
      </c>
      <c r="O918" s="3"/>
      <c r="P918" s="4">
        <v>42783</v>
      </c>
      <c r="Q918" s="3" t="s">
        <v>27</v>
      </c>
      <c r="R918" s="3" t="s">
        <v>28</v>
      </c>
      <c r="S918" s="3" t="s">
        <v>29</v>
      </c>
      <c r="T918" s="5">
        <v>1439.87</v>
      </c>
      <c r="U918" s="3">
        <v>620.87</v>
      </c>
      <c r="V918" s="3">
        <v>573.36</v>
      </c>
      <c r="W918" s="3">
        <v>245.64</v>
      </c>
    </row>
    <row r="919" spans="1:23" ht="36.75">
      <c r="A919" s="3" t="s">
        <v>23</v>
      </c>
      <c r="B919" s="3" t="s">
        <v>24</v>
      </c>
      <c r="C919" s="3" t="s">
        <v>35</v>
      </c>
      <c r="D919" s="3" t="s">
        <v>48</v>
      </c>
      <c r="E919" s="3" t="s">
        <v>32</v>
      </c>
      <c r="F919" s="3" t="s">
        <v>129</v>
      </c>
      <c r="G919" s="3">
        <v>2016</v>
      </c>
      <c r="H919" s="3" t="str">
        <f>CONCATENATE("64240184024")</f>
        <v>64240184024</v>
      </c>
      <c r="I919" s="3" t="s">
        <v>31</v>
      </c>
      <c r="J919" s="3" t="s">
        <v>26</v>
      </c>
      <c r="K919" s="3" t="str">
        <f t="shared" si="34"/>
        <v/>
      </c>
      <c r="L919" s="3" t="str">
        <f>CONCATENATE("11 11.2 4b")</f>
        <v>11 11.2 4b</v>
      </c>
      <c r="M919" s="3" t="str">
        <f>CONCATENATE("01106590431")</f>
        <v>01106590431</v>
      </c>
      <c r="N919" s="3" t="s">
        <v>1020</v>
      </c>
      <c r="O919" s="3"/>
      <c r="P919" s="4">
        <v>42783</v>
      </c>
      <c r="Q919" s="3" t="s">
        <v>27</v>
      </c>
      <c r="R919" s="3" t="s">
        <v>28</v>
      </c>
      <c r="S919" s="3" t="s">
        <v>29</v>
      </c>
      <c r="T919" s="5">
        <v>4009.73</v>
      </c>
      <c r="U919" s="5">
        <v>1729</v>
      </c>
      <c r="V919" s="5">
        <v>1596.67</v>
      </c>
      <c r="W919" s="3">
        <v>684.06</v>
      </c>
    </row>
    <row r="920" spans="1:23" ht="60.75">
      <c r="A920" s="3" t="s">
        <v>23</v>
      </c>
      <c r="B920" s="3" t="s">
        <v>24</v>
      </c>
      <c r="C920" s="3" t="s">
        <v>35</v>
      </c>
      <c r="D920" s="3" t="s">
        <v>36</v>
      </c>
      <c r="E920" s="3" t="s">
        <v>32</v>
      </c>
      <c r="F920" s="3" t="s">
        <v>65</v>
      </c>
      <c r="G920" s="3">
        <v>2016</v>
      </c>
      <c r="H920" s="3" t="str">
        <f>CONCATENATE("64210618019")</f>
        <v>64210618019</v>
      </c>
      <c r="I920" s="3" t="s">
        <v>25</v>
      </c>
      <c r="J920" s="3" t="s">
        <v>26</v>
      </c>
      <c r="K920" s="3" t="str">
        <f t="shared" si="34"/>
        <v/>
      </c>
      <c r="L920" s="3" t="str">
        <f>CONCATENATE("13 13.1 4a")</f>
        <v>13 13.1 4a</v>
      </c>
      <c r="M920" s="3" t="str">
        <f>CONCATENATE("LSNLNI62L15A462G")</f>
        <v>LSNLNI62L15A462G</v>
      </c>
      <c r="N920" s="3" t="s">
        <v>1021</v>
      </c>
      <c r="O920" s="3"/>
      <c r="P920" s="4">
        <v>42783</v>
      </c>
      <c r="Q920" s="3" t="s">
        <v>27</v>
      </c>
      <c r="R920" s="3" t="s">
        <v>28</v>
      </c>
      <c r="S920" s="3" t="s">
        <v>29</v>
      </c>
      <c r="T920" s="5">
        <v>1975.75</v>
      </c>
      <c r="U920" s="3">
        <v>851.94</v>
      </c>
      <c r="V920" s="3">
        <v>786.74</v>
      </c>
      <c r="W920" s="3">
        <v>337.07</v>
      </c>
    </row>
    <row r="921" spans="1:23" ht="60.75">
      <c r="A921" s="3" t="s">
        <v>23</v>
      </c>
      <c r="B921" s="3" t="s">
        <v>24</v>
      </c>
      <c r="C921" s="3" t="s">
        <v>35</v>
      </c>
      <c r="D921" s="3" t="s">
        <v>43</v>
      </c>
      <c r="E921" s="3" t="s">
        <v>32</v>
      </c>
      <c r="F921" s="3" t="s">
        <v>78</v>
      </c>
      <c r="G921" s="3">
        <v>2016</v>
      </c>
      <c r="H921" s="3" t="str">
        <f>CONCATENATE("64240585071")</f>
        <v>64240585071</v>
      </c>
      <c r="I921" s="3" t="s">
        <v>25</v>
      </c>
      <c r="J921" s="3" t="s">
        <v>26</v>
      </c>
      <c r="K921" s="3" t="str">
        <f t="shared" si="34"/>
        <v/>
      </c>
      <c r="L921" s="3" t="str">
        <f>CONCATENATE("11 11.2 4b")</f>
        <v>11 11.2 4b</v>
      </c>
      <c r="M921" s="3" t="str">
        <f>CONCATENATE("SLVFNC59A30G514M")</f>
        <v>SLVFNC59A30G514M</v>
      </c>
      <c r="N921" s="3" t="s">
        <v>1022</v>
      </c>
      <c r="O921" s="3"/>
      <c r="P921" s="4">
        <v>42783</v>
      </c>
      <c r="Q921" s="3" t="s">
        <v>27</v>
      </c>
      <c r="R921" s="3" t="s">
        <v>28</v>
      </c>
      <c r="S921" s="3" t="s">
        <v>29</v>
      </c>
      <c r="T921" s="3">
        <v>779.28</v>
      </c>
      <c r="U921" s="3">
        <v>336.03</v>
      </c>
      <c r="V921" s="3">
        <v>310.31</v>
      </c>
      <c r="W921" s="3">
        <v>132.94</v>
      </c>
    </row>
    <row r="922" spans="1:23" ht="60.75">
      <c r="A922" s="3" t="s">
        <v>23</v>
      </c>
      <c r="B922" s="3" t="s">
        <v>24</v>
      </c>
      <c r="C922" s="3" t="s">
        <v>35</v>
      </c>
      <c r="D922" s="3" t="s">
        <v>36</v>
      </c>
      <c r="E922" s="3" t="s">
        <v>30</v>
      </c>
      <c r="F922" s="3" t="s">
        <v>37</v>
      </c>
      <c r="G922" s="3">
        <v>2016</v>
      </c>
      <c r="H922" s="3" t="str">
        <f>CONCATENATE("64240831699")</f>
        <v>64240831699</v>
      </c>
      <c r="I922" s="3" t="s">
        <v>25</v>
      </c>
      <c r="J922" s="3" t="s">
        <v>26</v>
      </c>
      <c r="K922" s="3" t="str">
        <f t="shared" si="34"/>
        <v/>
      </c>
      <c r="L922" s="3" t="str">
        <f>CONCATENATE("10 10.1 4b")</f>
        <v>10 10.1 4b</v>
      </c>
      <c r="M922" s="3" t="str">
        <f>CONCATENATE("SBRGFR56S29I315K")</f>
        <v>SBRGFR56S29I315K</v>
      </c>
      <c r="N922" s="3" t="s">
        <v>1023</v>
      </c>
      <c r="O922" s="3"/>
      <c r="P922" s="4">
        <v>42783</v>
      </c>
      <c r="Q922" s="3" t="s">
        <v>27</v>
      </c>
      <c r="R922" s="3" t="s">
        <v>28</v>
      </c>
      <c r="S922" s="3" t="s">
        <v>29</v>
      </c>
      <c r="T922" s="5">
        <v>2675.22</v>
      </c>
      <c r="U922" s="5">
        <v>1153.55</v>
      </c>
      <c r="V922" s="5">
        <v>1065.27</v>
      </c>
      <c r="W922" s="3">
        <v>456.4</v>
      </c>
    </row>
    <row r="923" spans="1:23" ht="72.75">
      <c r="A923" s="3" t="s">
        <v>23</v>
      </c>
      <c r="B923" s="3" t="s">
        <v>24</v>
      </c>
      <c r="C923" s="3" t="s">
        <v>35</v>
      </c>
      <c r="D923" s="3" t="s">
        <v>48</v>
      </c>
      <c r="E923" s="3" t="s">
        <v>30</v>
      </c>
      <c r="F923" s="3" t="s">
        <v>55</v>
      </c>
      <c r="G923" s="3">
        <v>2016</v>
      </c>
      <c r="H923" s="3" t="str">
        <f>CONCATENATE("64240676383")</f>
        <v>64240676383</v>
      </c>
      <c r="I923" s="3" t="s">
        <v>25</v>
      </c>
      <c r="J923" s="3" t="s">
        <v>26</v>
      </c>
      <c r="K923" s="3" t="str">
        <f t="shared" si="34"/>
        <v/>
      </c>
      <c r="L923" s="3" t="str">
        <f>CONCATENATE("11 11.2 4b")</f>
        <v>11 11.2 4b</v>
      </c>
      <c r="M923" s="3" t="str">
        <f>CONCATENATE("FRSMSM76L29H211L")</f>
        <v>FRSMSM76L29H211L</v>
      </c>
      <c r="N923" s="3" t="s">
        <v>1024</v>
      </c>
      <c r="O923" s="3"/>
      <c r="P923" s="4">
        <v>42783</v>
      </c>
      <c r="Q923" s="3" t="s">
        <v>27</v>
      </c>
      <c r="R923" s="3" t="s">
        <v>28</v>
      </c>
      <c r="S923" s="3" t="s">
        <v>29</v>
      </c>
      <c r="T923" s="5">
        <v>2028.87</v>
      </c>
      <c r="U923" s="3">
        <v>874.85</v>
      </c>
      <c r="V923" s="3">
        <v>807.9</v>
      </c>
      <c r="W923" s="3">
        <v>346.12</v>
      </c>
    </row>
    <row r="924" spans="1:23" ht="60.75">
      <c r="A924" s="3" t="s">
        <v>23</v>
      </c>
      <c r="B924" s="3" t="s">
        <v>24</v>
      </c>
      <c r="C924" s="3" t="s">
        <v>35</v>
      </c>
      <c r="D924" s="3" t="s">
        <v>43</v>
      </c>
      <c r="E924" s="3" t="s">
        <v>30</v>
      </c>
      <c r="F924" s="3" t="s">
        <v>76</v>
      </c>
      <c r="G924" s="3">
        <v>2016</v>
      </c>
      <c r="H924" s="3" t="str">
        <f>CONCATENATE("64240164943")</f>
        <v>64240164943</v>
      </c>
      <c r="I924" s="3" t="s">
        <v>31</v>
      </c>
      <c r="J924" s="3" t="s">
        <v>26</v>
      </c>
      <c r="K924" s="3" t="str">
        <f t="shared" si="34"/>
        <v/>
      </c>
      <c r="L924" s="3" t="str">
        <f>CONCATENATE("11 11.1 4b")</f>
        <v>11 11.1 4b</v>
      </c>
      <c r="M924" s="3" t="str">
        <f>CONCATENATE("PCCMSM74P14I459T")</f>
        <v>PCCMSM74P14I459T</v>
      </c>
      <c r="N924" s="3" t="s">
        <v>1025</v>
      </c>
      <c r="O924" s="3"/>
      <c r="P924" s="4">
        <v>42783</v>
      </c>
      <c r="Q924" s="3" t="s">
        <v>27</v>
      </c>
      <c r="R924" s="3" t="s">
        <v>28</v>
      </c>
      <c r="S924" s="3" t="s">
        <v>29</v>
      </c>
      <c r="T924" s="5">
        <v>4074.24</v>
      </c>
      <c r="U924" s="5">
        <v>1756.81</v>
      </c>
      <c r="V924" s="5">
        <v>1622.36</v>
      </c>
      <c r="W924" s="3">
        <v>695.07</v>
      </c>
    </row>
    <row r="925" spans="1:23" ht="36.75">
      <c r="A925" s="3" t="s">
        <v>23</v>
      </c>
      <c r="B925" s="3" t="s">
        <v>24</v>
      </c>
      <c r="C925" s="3" t="s">
        <v>35</v>
      </c>
      <c r="D925" s="3" t="s">
        <v>36</v>
      </c>
      <c r="E925" s="3" t="s">
        <v>32</v>
      </c>
      <c r="F925" s="3" t="s">
        <v>127</v>
      </c>
      <c r="G925" s="3">
        <v>2016</v>
      </c>
      <c r="H925" s="3" t="str">
        <f>CONCATENATE("64210902827")</f>
        <v>64210902827</v>
      </c>
      <c r="I925" s="3" t="s">
        <v>25</v>
      </c>
      <c r="J925" s="3" t="s">
        <v>26</v>
      </c>
      <c r="K925" s="3" t="str">
        <f t="shared" si="34"/>
        <v/>
      </c>
      <c r="L925" s="3" t="str">
        <f>CONCATENATE("13 13.1 4a")</f>
        <v>13 13.1 4a</v>
      </c>
      <c r="M925" s="3" t="str">
        <f>CONCATENATE("00702430448")</f>
        <v>00702430448</v>
      </c>
      <c r="N925" s="3" t="s">
        <v>1026</v>
      </c>
      <c r="O925" s="3"/>
      <c r="P925" s="4">
        <v>42783</v>
      </c>
      <c r="Q925" s="3" t="s">
        <v>27</v>
      </c>
      <c r="R925" s="3" t="s">
        <v>28</v>
      </c>
      <c r="S925" s="3" t="s">
        <v>29</v>
      </c>
      <c r="T925" s="5">
        <v>3410.16</v>
      </c>
      <c r="U925" s="5">
        <v>1470.46</v>
      </c>
      <c r="V925" s="5">
        <v>1357.93</v>
      </c>
      <c r="W925" s="3">
        <v>581.77</v>
      </c>
    </row>
    <row r="926" spans="1:23" ht="36.75">
      <c r="A926" s="3" t="s">
        <v>23</v>
      </c>
      <c r="B926" s="3" t="s">
        <v>24</v>
      </c>
      <c r="C926" s="3" t="s">
        <v>35</v>
      </c>
      <c r="D926" s="3" t="s">
        <v>36</v>
      </c>
      <c r="E926" s="3" t="s">
        <v>30</v>
      </c>
      <c r="F926" s="3" t="s">
        <v>37</v>
      </c>
      <c r="G926" s="3">
        <v>2016</v>
      </c>
      <c r="H926" s="3" t="str">
        <f>CONCATENATE("64210388571")</f>
        <v>64210388571</v>
      </c>
      <c r="I926" s="3" t="s">
        <v>25</v>
      </c>
      <c r="J926" s="3" t="s">
        <v>26</v>
      </c>
      <c r="K926" s="3" t="str">
        <f t="shared" si="34"/>
        <v/>
      </c>
      <c r="L926" s="3" t="str">
        <f>CONCATENATE("13 13.1 4a")</f>
        <v>13 13.1 4a</v>
      </c>
      <c r="M926" s="3" t="str">
        <f>CONCATENATE("00790150445")</f>
        <v>00790150445</v>
      </c>
      <c r="N926" s="3" t="s">
        <v>1027</v>
      </c>
      <c r="O926" s="3"/>
      <c r="P926" s="4">
        <v>42783</v>
      </c>
      <c r="Q926" s="3" t="s">
        <v>27</v>
      </c>
      <c r="R926" s="3" t="s">
        <v>28</v>
      </c>
      <c r="S926" s="3" t="s">
        <v>29</v>
      </c>
      <c r="T926" s="3">
        <v>768.72</v>
      </c>
      <c r="U926" s="3">
        <v>331.47</v>
      </c>
      <c r="V926" s="3">
        <v>306.10000000000002</v>
      </c>
      <c r="W926" s="3">
        <v>131.15</v>
      </c>
    </row>
    <row r="927" spans="1:23" ht="36.75">
      <c r="A927" s="3" t="s">
        <v>23</v>
      </c>
      <c r="B927" s="3" t="s">
        <v>24</v>
      </c>
      <c r="C927" s="3" t="s">
        <v>35</v>
      </c>
      <c r="D927" s="3" t="s">
        <v>36</v>
      </c>
      <c r="E927" s="3" t="s">
        <v>30</v>
      </c>
      <c r="F927" s="3" t="s">
        <v>37</v>
      </c>
      <c r="G927" s="3">
        <v>2016</v>
      </c>
      <c r="H927" s="3" t="str">
        <f>CONCATENATE("64210199952")</f>
        <v>64210199952</v>
      </c>
      <c r="I927" s="3" t="s">
        <v>25</v>
      </c>
      <c r="J927" s="3" t="s">
        <v>26</v>
      </c>
      <c r="K927" s="3" t="str">
        <f t="shared" si="34"/>
        <v/>
      </c>
      <c r="L927" s="3" t="str">
        <f>CONCATENATE("13 13.1 4a")</f>
        <v>13 13.1 4a</v>
      </c>
      <c r="M927" s="3" t="str">
        <f>CONCATENATE("01118050440")</f>
        <v>01118050440</v>
      </c>
      <c r="N927" s="3" t="s">
        <v>1028</v>
      </c>
      <c r="O927" s="3"/>
      <c r="P927" s="4">
        <v>42783</v>
      </c>
      <c r="Q927" s="3" t="s">
        <v>27</v>
      </c>
      <c r="R927" s="3" t="s">
        <v>28</v>
      </c>
      <c r="S927" s="3" t="s">
        <v>29</v>
      </c>
      <c r="T927" s="5">
        <v>1342.32</v>
      </c>
      <c r="U927" s="3">
        <v>578.80999999999995</v>
      </c>
      <c r="V927" s="3">
        <v>534.51</v>
      </c>
      <c r="W927" s="3">
        <v>229</v>
      </c>
    </row>
    <row r="928" spans="1:23" ht="60.75">
      <c r="A928" s="3" t="s">
        <v>23</v>
      </c>
      <c r="B928" s="3" t="s">
        <v>24</v>
      </c>
      <c r="C928" s="3" t="s">
        <v>35</v>
      </c>
      <c r="D928" s="3" t="s">
        <v>36</v>
      </c>
      <c r="E928" s="3" t="s">
        <v>42</v>
      </c>
      <c r="F928" s="3" t="s">
        <v>42</v>
      </c>
      <c r="G928" s="3">
        <v>2016</v>
      </c>
      <c r="H928" s="3" t="str">
        <f>CONCATENATE("64240259289")</f>
        <v>64240259289</v>
      </c>
      <c r="I928" s="3" t="s">
        <v>25</v>
      </c>
      <c r="J928" s="3" t="s">
        <v>26</v>
      </c>
      <c r="K928" s="3" t="str">
        <f t="shared" si="34"/>
        <v/>
      </c>
      <c r="L928" s="3" t="str">
        <f>CONCATENATE("11 11.2 4b")</f>
        <v>11 11.2 4b</v>
      </c>
      <c r="M928" s="3" t="str">
        <f>CONCATENATE("SPRMRS58R48H321L")</f>
        <v>SPRMRS58R48H321L</v>
      </c>
      <c r="N928" s="3" t="s">
        <v>1029</v>
      </c>
      <c r="O928" s="3"/>
      <c r="P928" s="4">
        <v>42783</v>
      </c>
      <c r="Q928" s="3" t="s">
        <v>27</v>
      </c>
      <c r="R928" s="3" t="s">
        <v>28</v>
      </c>
      <c r="S928" s="3" t="s">
        <v>29</v>
      </c>
      <c r="T928" s="5">
        <v>6017.63</v>
      </c>
      <c r="U928" s="5">
        <v>2594.8000000000002</v>
      </c>
      <c r="V928" s="5">
        <v>2396.2199999999998</v>
      </c>
      <c r="W928" s="5">
        <v>1026.6099999999999</v>
      </c>
    </row>
    <row r="929" spans="1:23" ht="36.75">
      <c r="A929" s="3" t="s">
        <v>23</v>
      </c>
      <c r="B929" s="3" t="s">
        <v>24</v>
      </c>
      <c r="C929" s="3" t="s">
        <v>35</v>
      </c>
      <c r="D929" s="3" t="s">
        <v>39</v>
      </c>
      <c r="E929" s="3" t="s">
        <v>30</v>
      </c>
      <c r="F929" s="3" t="s">
        <v>40</v>
      </c>
      <c r="G929" s="3">
        <v>2016</v>
      </c>
      <c r="H929" s="3" t="str">
        <f>CONCATENATE("64240531588")</f>
        <v>64240531588</v>
      </c>
      <c r="I929" s="3" t="s">
        <v>25</v>
      </c>
      <c r="J929" s="3" t="s">
        <v>26</v>
      </c>
      <c r="K929" s="3" t="str">
        <f t="shared" si="34"/>
        <v/>
      </c>
      <c r="L929" s="3" t="str">
        <f>CONCATENATE("11 11.2 4b")</f>
        <v>11 11.2 4b</v>
      </c>
      <c r="M929" s="3" t="str">
        <f>CONCATENATE("02556970420")</f>
        <v>02556970420</v>
      </c>
      <c r="N929" s="3" t="s">
        <v>1030</v>
      </c>
      <c r="O929" s="3"/>
      <c r="P929" s="4">
        <v>42783</v>
      </c>
      <c r="Q929" s="3" t="s">
        <v>27</v>
      </c>
      <c r="R929" s="3" t="s">
        <v>28</v>
      </c>
      <c r="S929" s="3" t="s">
        <v>29</v>
      </c>
      <c r="T929" s="5">
        <v>1752.9</v>
      </c>
      <c r="U929" s="3">
        <v>755.85</v>
      </c>
      <c r="V929" s="3">
        <v>698</v>
      </c>
      <c r="W929" s="3">
        <v>299.05</v>
      </c>
    </row>
    <row r="930" spans="1:23" ht="72.75">
      <c r="A930" s="3" t="s">
        <v>23</v>
      </c>
      <c r="B930" s="3" t="s">
        <v>24</v>
      </c>
      <c r="C930" s="3" t="s">
        <v>35</v>
      </c>
      <c r="D930" s="3" t="s">
        <v>48</v>
      </c>
      <c r="E930" s="3" t="s">
        <v>59</v>
      </c>
      <c r="F930" s="3" t="s">
        <v>240</v>
      </c>
      <c r="G930" s="3">
        <v>2016</v>
      </c>
      <c r="H930" s="3" t="str">
        <f>CONCATENATE("64210756082")</f>
        <v>64210756082</v>
      </c>
      <c r="I930" s="3" t="s">
        <v>25</v>
      </c>
      <c r="J930" s="3" t="s">
        <v>26</v>
      </c>
      <c r="K930" s="3" t="str">
        <f t="shared" si="34"/>
        <v/>
      </c>
      <c r="L930" s="3" t="str">
        <f>CONCATENATE("13 13.1 4a")</f>
        <v>13 13.1 4a</v>
      </c>
      <c r="M930" s="3" t="str">
        <f>CONCATENATE("MNNPIA50E59F268M")</f>
        <v>MNNPIA50E59F268M</v>
      </c>
      <c r="N930" s="3" t="s">
        <v>1031</v>
      </c>
      <c r="O930" s="3"/>
      <c r="P930" s="4">
        <v>42783</v>
      </c>
      <c r="Q930" s="3" t="s">
        <v>27</v>
      </c>
      <c r="R930" s="3" t="s">
        <v>28</v>
      </c>
      <c r="S930" s="3" t="s">
        <v>29</v>
      </c>
      <c r="T930" s="5">
        <v>5400</v>
      </c>
      <c r="U930" s="5">
        <v>2328.48</v>
      </c>
      <c r="V930" s="5">
        <v>2150.2800000000002</v>
      </c>
      <c r="W930" s="3">
        <v>921.24</v>
      </c>
    </row>
    <row r="931" spans="1:23" ht="60.75">
      <c r="A931" s="3" t="s">
        <v>23</v>
      </c>
      <c r="B931" s="3" t="s">
        <v>24</v>
      </c>
      <c r="C931" s="3" t="s">
        <v>35</v>
      </c>
      <c r="D931" s="3" t="s">
        <v>36</v>
      </c>
      <c r="E931" s="3" t="s">
        <v>33</v>
      </c>
      <c r="F931" s="3" t="s">
        <v>360</v>
      </c>
      <c r="G931" s="3">
        <v>2016</v>
      </c>
      <c r="H931" s="3" t="str">
        <f>CONCATENATE("64240429767")</f>
        <v>64240429767</v>
      </c>
      <c r="I931" s="3" t="s">
        <v>25</v>
      </c>
      <c r="J931" s="3" t="s">
        <v>26</v>
      </c>
      <c r="K931" s="3" t="str">
        <f t="shared" si="34"/>
        <v/>
      </c>
      <c r="L931" s="3" t="str">
        <f>CONCATENATE("10 10.1 4b")</f>
        <v>10 10.1 4b</v>
      </c>
      <c r="M931" s="3" t="str">
        <f>CONCATENATE("PSQMRC65L13F415F")</f>
        <v>PSQMRC65L13F415F</v>
      </c>
      <c r="N931" s="3" t="s">
        <v>1032</v>
      </c>
      <c r="O931" s="3"/>
      <c r="P931" s="4">
        <v>42783</v>
      </c>
      <c r="Q931" s="3" t="s">
        <v>27</v>
      </c>
      <c r="R931" s="3" t="s">
        <v>28</v>
      </c>
      <c r="S931" s="3" t="s">
        <v>29</v>
      </c>
      <c r="T931" s="5">
        <v>3285.36</v>
      </c>
      <c r="U931" s="5">
        <v>1416.65</v>
      </c>
      <c r="V931" s="5">
        <v>1308.23</v>
      </c>
      <c r="W931" s="3">
        <v>560.48</v>
      </c>
    </row>
    <row r="932" spans="1:23" ht="60.75">
      <c r="A932" s="3" t="s">
        <v>23</v>
      </c>
      <c r="B932" s="3" t="s">
        <v>24</v>
      </c>
      <c r="C932" s="3" t="s">
        <v>35</v>
      </c>
      <c r="D932" s="3" t="s">
        <v>36</v>
      </c>
      <c r="E932" s="3" t="s">
        <v>33</v>
      </c>
      <c r="F932" s="3" t="s">
        <v>95</v>
      </c>
      <c r="G932" s="3">
        <v>2016</v>
      </c>
      <c r="H932" s="3" t="str">
        <f>CONCATENATE("64240593802")</f>
        <v>64240593802</v>
      </c>
      <c r="I932" s="3" t="s">
        <v>25</v>
      </c>
      <c r="J932" s="3" t="s">
        <v>26</v>
      </c>
      <c r="K932" s="3" t="str">
        <f t="shared" si="34"/>
        <v/>
      </c>
      <c r="L932" s="3" t="str">
        <f>CONCATENATE("10 10.1 4b")</f>
        <v>10 10.1 4b</v>
      </c>
      <c r="M932" s="3" t="str">
        <f>CONCATENATE("DRSPQL70L11G137M")</f>
        <v>DRSPQL70L11G137M</v>
      </c>
      <c r="N932" s="3" t="s">
        <v>1033</v>
      </c>
      <c r="O932" s="3"/>
      <c r="P932" s="4">
        <v>42783</v>
      </c>
      <c r="Q932" s="3" t="s">
        <v>27</v>
      </c>
      <c r="R932" s="3" t="s">
        <v>28</v>
      </c>
      <c r="S932" s="3" t="s">
        <v>29</v>
      </c>
      <c r="T932" s="5">
        <v>2605.7600000000002</v>
      </c>
      <c r="U932" s="5">
        <v>1123.5999999999999</v>
      </c>
      <c r="V932" s="5">
        <v>1037.6099999999999</v>
      </c>
      <c r="W932" s="3">
        <v>444.55</v>
      </c>
    </row>
    <row r="933" spans="1:23" ht="60.75">
      <c r="A933" s="3" t="s">
        <v>23</v>
      </c>
      <c r="B933" s="3" t="s">
        <v>24</v>
      </c>
      <c r="C933" s="3" t="s">
        <v>35</v>
      </c>
      <c r="D933" s="3" t="s">
        <v>43</v>
      </c>
      <c r="E933" s="3" t="s">
        <v>32</v>
      </c>
      <c r="F933" s="3" t="s">
        <v>78</v>
      </c>
      <c r="G933" s="3">
        <v>2016</v>
      </c>
      <c r="H933" s="3" t="str">
        <f>CONCATENATE("64240325445")</f>
        <v>64240325445</v>
      </c>
      <c r="I933" s="3" t="s">
        <v>25</v>
      </c>
      <c r="J933" s="3" t="s">
        <v>26</v>
      </c>
      <c r="K933" s="3" t="str">
        <f t="shared" si="34"/>
        <v/>
      </c>
      <c r="L933" s="3" t="str">
        <f>CONCATENATE("11 11.2 4b")</f>
        <v>11 11.2 4b</v>
      </c>
      <c r="M933" s="3" t="str">
        <f>CONCATENATE("CNCDBR71B46L500B")</f>
        <v>CNCDBR71B46L500B</v>
      </c>
      <c r="N933" s="3" t="s">
        <v>1034</v>
      </c>
      <c r="O933" s="3"/>
      <c r="P933" s="4">
        <v>42783</v>
      </c>
      <c r="Q933" s="3" t="s">
        <v>27</v>
      </c>
      <c r="R933" s="3" t="s">
        <v>28</v>
      </c>
      <c r="S933" s="3" t="s">
        <v>29</v>
      </c>
      <c r="T933" s="5">
        <v>4787.46</v>
      </c>
      <c r="U933" s="5">
        <v>2064.35</v>
      </c>
      <c r="V933" s="5">
        <v>1906.37</v>
      </c>
      <c r="W933" s="3">
        <v>816.74</v>
      </c>
    </row>
    <row r="934" spans="1:23" ht="36.75">
      <c r="A934" s="3" t="s">
        <v>23</v>
      </c>
      <c r="B934" s="3" t="s">
        <v>24</v>
      </c>
      <c r="C934" s="3" t="s">
        <v>35</v>
      </c>
      <c r="D934" s="3" t="s">
        <v>36</v>
      </c>
      <c r="E934" s="3" t="s">
        <v>30</v>
      </c>
      <c r="F934" s="3" t="s">
        <v>37</v>
      </c>
      <c r="G934" s="3">
        <v>2016</v>
      </c>
      <c r="H934" s="3" t="str">
        <f>CONCATENATE("64210283822")</f>
        <v>64210283822</v>
      </c>
      <c r="I934" s="3" t="s">
        <v>25</v>
      </c>
      <c r="J934" s="3" t="s">
        <v>26</v>
      </c>
      <c r="K934" s="3" t="str">
        <f t="shared" si="34"/>
        <v/>
      </c>
      <c r="L934" s="3" t="str">
        <f>CONCATENATE("13 13.1 4a")</f>
        <v>13 13.1 4a</v>
      </c>
      <c r="M934" s="3" t="str">
        <f>CONCATENATE("00485120448")</f>
        <v>00485120448</v>
      </c>
      <c r="N934" s="3" t="s">
        <v>1035</v>
      </c>
      <c r="O934" s="3"/>
      <c r="P934" s="4">
        <v>42783</v>
      </c>
      <c r="Q934" s="3" t="s">
        <v>27</v>
      </c>
      <c r="R934" s="3" t="s">
        <v>28</v>
      </c>
      <c r="S934" s="3" t="s">
        <v>29</v>
      </c>
      <c r="T934" s="5">
        <v>2033.97</v>
      </c>
      <c r="U934" s="3">
        <v>877.05</v>
      </c>
      <c r="V934" s="3">
        <v>809.93</v>
      </c>
      <c r="W934" s="3">
        <v>346.99</v>
      </c>
    </row>
    <row r="935" spans="1:23" ht="60.75">
      <c r="A935" s="3" t="s">
        <v>23</v>
      </c>
      <c r="B935" s="3" t="s">
        <v>24</v>
      </c>
      <c r="C935" s="3" t="s">
        <v>35</v>
      </c>
      <c r="D935" s="3" t="s">
        <v>48</v>
      </c>
      <c r="E935" s="3" t="s">
        <v>30</v>
      </c>
      <c r="F935" s="3" t="s">
        <v>289</v>
      </c>
      <c r="G935" s="3">
        <v>2016</v>
      </c>
      <c r="H935" s="3" t="str">
        <f>CONCATENATE("64240663944")</f>
        <v>64240663944</v>
      </c>
      <c r="I935" s="3" t="s">
        <v>25</v>
      </c>
      <c r="J935" s="3" t="s">
        <v>26</v>
      </c>
      <c r="K935" s="3" t="str">
        <f t="shared" si="34"/>
        <v/>
      </c>
      <c r="L935" s="3" t="str">
        <f>CONCATENATE("11 11.2 4b")</f>
        <v>11 11.2 4b</v>
      </c>
      <c r="M935" s="3" t="str">
        <f>CONCATENATE("TRCRNZ68E17I156U")</f>
        <v>TRCRNZ68E17I156U</v>
      </c>
      <c r="N935" s="3" t="s">
        <v>1036</v>
      </c>
      <c r="O935" s="3"/>
      <c r="P935" s="4">
        <v>42783</v>
      </c>
      <c r="Q935" s="3" t="s">
        <v>27</v>
      </c>
      <c r="R935" s="3" t="s">
        <v>28</v>
      </c>
      <c r="S935" s="3" t="s">
        <v>29</v>
      </c>
      <c r="T935" s="5">
        <v>36256.370000000003</v>
      </c>
      <c r="U935" s="5">
        <v>15633.75</v>
      </c>
      <c r="V935" s="5">
        <v>14437.29</v>
      </c>
      <c r="W935" s="5">
        <v>6185.33</v>
      </c>
    </row>
    <row r="936" spans="1:23" ht="60.75">
      <c r="A936" s="3" t="s">
        <v>23</v>
      </c>
      <c r="B936" s="3" t="s">
        <v>24</v>
      </c>
      <c r="C936" s="3" t="s">
        <v>35</v>
      </c>
      <c r="D936" s="3" t="s">
        <v>43</v>
      </c>
      <c r="E936" s="3" t="s">
        <v>32</v>
      </c>
      <c r="F936" s="3" t="s">
        <v>44</v>
      </c>
      <c r="G936" s="3">
        <v>2016</v>
      </c>
      <c r="H936" s="3" t="str">
        <f>CONCATENATE("64240352605")</f>
        <v>64240352605</v>
      </c>
      <c r="I936" s="3" t="s">
        <v>25</v>
      </c>
      <c r="J936" s="3" t="s">
        <v>26</v>
      </c>
      <c r="K936" s="3" t="str">
        <f t="shared" si="34"/>
        <v/>
      </c>
      <c r="L936" s="3" t="str">
        <f>CONCATENATE("11 11.2 4b")</f>
        <v>11 11.2 4b</v>
      </c>
      <c r="M936" s="3" t="str">
        <f>CONCATENATE("PRFTMS58H27F347W")</f>
        <v>PRFTMS58H27F347W</v>
      </c>
      <c r="N936" s="3" t="s">
        <v>1037</v>
      </c>
      <c r="O936" s="3"/>
      <c r="P936" s="4">
        <v>42783</v>
      </c>
      <c r="Q936" s="3" t="s">
        <v>27</v>
      </c>
      <c r="R936" s="3" t="s">
        <v>28</v>
      </c>
      <c r="S936" s="3" t="s">
        <v>29</v>
      </c>
      <c r="T936" s="5">
        <v>2965</v>
      </c>
      <c r="U936" s="5">
        <v>1278.51</v>
      </c>
      <c r="V936" s="5">
        <v>1180.6600000000001</v>
      </c>
      <c r="W936" s="3">
        <v>505.83</v>
      </c>
    </row>
    <row r="937" spans="1:23" ht="60.75">
      <c r="A937" s="3" t="s">
        <v>23</v>
      </c>
      <c r="B937" s="3" t="s">
        <v>24</v>
      </c>
      <c r="C937" s="3" t="s">
        <v>35</v>
      </c>
      <c r="D937" s="3" t="s">
        <v>39</v>
      </c>
      <c r="E937" s="3" t="s">
        <v>30</v>
      </c>
      <c r="F937" s="3" t="s">
        <v>285</v>
      </c>
      <c r="G937" s="3">
        <v>2016</v>
      </c>
      <c r="H937" s="3" t="str">
        <f>CONCATENATE("64240568986")</f>
        <v>64240568986</v>
      </c>
      <c r="I937" s="3" t="s">
        <v>25</v>
      </c>
      <c r="J937" s="3" t="s">
        <v>26</v>
      </c>
      <c r="K937" s="3" t="str">
        <f t="shared" si="34"/>
        <v/>
      </c>
      <c r="L937" s="3" t="str">
        <f>CONCATENATE("11 11.2 4b")</f>
        <v>11 11.2 4b</v>
      </c>
      <c r="M937" s="3" t="str">
        <f>CONCATENATE("GLLSMN76P24I608C")</f>
        <v>GLLSMN76P24I608C</v>
      </c>
      <c r="N937" s="3" t="s">
        <v>1038</v>
      </c>
      <c r="O937" s="3"/>
      <c r="P937" s="4">
        <v>42783</v>
      </c>
      <c r="Q937" s="3" t="s">
        <v>27</v>
      </c>
      <c r="R937" s="3" t="s">
        <v>28</v>
      </c>
      <c r="S937" s="3" t="s">
        <v>29</v>
      </c>
      <c r="T937" s="5">
        <v>1218.6199999999999</v>
      </c>
      <c r="U937" s="3">
        <v>525.47</v>
      </c>
      <c r="V937" s="3">
        <v>485.25</v>
      </c>
      <c r="W937" s="3">
        <v>207.9</v>
      </c>
    </row>
    <row r="938" spans="1:23" ht="60.75">
      <c r="A938" s="3" t="s">
        <v>23</v>
      </c>
      <c r="B938" s="3" t="s">
        <v>24</v>
      </c>
      <c r="C938" s="3" t="s">
        <v>35</v>
      </c>
      <c r="D938" s="3" t="s">
        <v>39</v>
      </c>
      <c r="E938" s="3" t="s">
        <v>30</v>
      </c>
      <c r="F938" s="3" t="s">
        <v>72</v>
      </c>
      <c r="G938" s="3">
        <v>2016</v>
      </c>
      <c r="H938" s="3" t="str">
        <f>CONCATENATE("64240585915")</f>
        <v>64240585915</v>
      </c>
      <c r="I938" s="3" t="s">
        <v>31</v>
      </c>
      <c r="J938" s="3" t="s">
        <v>26</v>
      </c>
      <c r="K938" s="3" t="str">
        <f t="shared" si="34"/>
        <v/>
      </c>
      <c r="L938" s="3" t="str">
        <f>CONCATENATE("11 11.1 4b")</f>
        <v>11 11.1 4b</v>
      </c>
      <c r="M938" s="3" t="str">
        <f>CONCATENATE("DSLLNN59L70Z613Z")</f>
        <v>DSLLNN59L70Z613Z</v>
      </c>
      <c r="N938" s="3" t="s">
        <v>1039</v>
      </c>
      <c r="O938" s="3"/>
      <c r="P938" s="4">
        <v>42783</v>
      </c>
      <c r="Q938" s="3" t="s">
        <v>27</v>
      </c>
      <c r="R938" s="3" t="s">
        <v>28</v>
      </c>
      <c r="S938" s="3" t="s">
        <v>29</v>
      </c>
      <c r="T938" s="3">
        <v>533.09</v>
      </c>
      <c r="U938" s="3">
        <v>229.87</v>
      </c>
      <c r="V938" s="3">
        <v>212.28</v>
      </c>
      <c r="W938" s="3">
        <v>90.94</v>
      </c>
    </row>
    <row r="939" spans="1:23" ht="60.75">
      <c r="A939" s="3" t="s">
        <v>23</v>
      </c>
      <c r="B939" s="3" t="s">
        <v>24</v>
      </c>
      <c r="C939" s="3" t="s">
        <v>35</v>
      </c>
      <c r="D939" s="3" t="s">
        <v>39</v>
      </c>
      <c r="E939" s="3" t="s">
        <v>33</v>
      </c>
      <c r="F939" s="3" t="s">
        <v>1040</v>
      </c>
      <c r="G939" s="3">
        <v>2016</v>
      </c>
      <c r="H939" s="3" t="str">
        <f>CONCATENATE("64240379988")</f>
        <v>64240379988</v>
      </c>
      <c r="I939" s="3" t="s">
        <v>31</v>
      </c>
      <c r="J939" s="3" t="s">
        <v>26</v>
      </c>
      <c r="K939" s="3" t="str">
        <f t="shared" si="34"/>
        <v/>
      </c>
      <c r="L939" s="3" t="str">
        <f>CONCATENATE("11 11.2 4b")</f>
        <v>11 11.2 4b</v>
      </c>
      <c r="M939" s="3" t="str">
        <f>CONCATENATE("SRNPLA63R27C100M")</f>
        <v>SRNPLA63R27C100M</v>
      </c>
      <c r="N939" s="3" t="s">
        <v>1041</v>
      </c>
      <c r="O939" s="3"/>
      <c r="P939" s="4">
        <v>42783</v>
      </c>
      <c r="Q939" s="3" t="s">
        <v>27</v>
      </c>
      <c r="R939" s="3" t="s">
        <v>28</v>
      </c>
      <c r="S939" s="3" t="s">
        <v>29</v>
      </c>
      <c r="T939" s="5">
        <v>2270.79</v>
      </c>
      <c r="U939" s="3">
        <v>979.16</v>
      </c>
      <c r="V939" s="3">
        <v>904.23</v>
      </c>
      <c r="W939" s="3">
        <v>387.4</v>
      </c>
    </row>
    <row r="940" spans="1:23" ht="36.75">
      <c r="A940" s="3" t="s">
        <v>23</v>
      </c>
      <c r="B940" s="3" t="s">
        <v>24</v>
      </c>
      <c r="C940" s="3" t="s">
        <v>35</v>
      </c>
      <c r="D940" s="3" t="s">
        <v>48</v>
      </c>
      <c r="E940" s="3" t="s">
        <v>59</v>
      </c>
      <c r="F940" s="3" t="s">
        <v>240</v>
      </c>
      <c r="G940" s="3">
        <v>2016</v>
      </c>
      <c r="H940" s="3" t="str">
        <f>CONCATENATE("64240361218")</f>
        <v>64240361218</v>
      </c>
      <c r="I940" s="3" t="s">
        <v>25</v>
      </c>
      <c r="J940" s="3" t="s">
        <v>26</v>
      </c>
      <c r="K940" s="3" t="str">
        <f t="shared" si="34"/>
        <v/>
      </c>
      <c r="L940" s="3" t="str">
        <f>CONCATENATE("11 11.2 4b")</f>
        <v>11 11.2 4b</v>
      </c>
      <c r="M940" s="3" t="str">
        <f>CONCATENATE("01885310431")</f>
        <v>01885310431</v>
      </c>
      <c r="N940" s="3" t="s">
        <v>1042</v>
      </c>
      <c r="O940" s="3"/>
      <c r="P940" s="4">
        <v>42783</v>
      </c>
      <c r="Q940" s="3" t="s">
        <v>27</v>
      </c>
      <c r="R940" s="3" t="s">
        <v>28</v>
      </c>
      <c r="S940" s="3" t="s">
        <v>29</v>
      </c>
      <c r="T940" s="5">
        <v>3386.91</v>
      </c>
      <c r="U940" s="5">
        <v>1460.44</v>
      </c>
      <c r="V940" s="5">
        <v>1348.67</v>
      </c>
      <c r="W940" s="3">
        <v>577.79999999999995</v>
      </c>
    </row>
    <row r="941" spans="1:23" ht="60.75">
      <c r="A941" s="3" t="s">
        <v>23</v>
      </c>
      <c r="B941" s="3" t="s">
        <v>24</v>
      </c>
      <c r="C941" s="3" t="s">
        <v>35</v>
      </c>
      <c r="D941" s="3" t="s">
        <v>48</v>
      </c>
      <c r="E941" s="3" t="s">
        <v>33</v>
      </c>
      <c r="F941" s="3" t="s">
        <v>358</v>
      </c>
      <c r="G941" s="3">
        <v>2016</v>
      </c>
      <c r="H941" s="3" t="str">
        <f>CONCATENATE("64240551503")</f>
        <v>64240551503</v>
      </c>
      <c r="I941" s="3" t="s">
        <v>25</v>
      </c>
      <c r="J941" s="3" t="s">
        <v>26</v>
      </c>
      <c r="K941" s="3" t="str">
        <f t="shared" si="34"/>
        <v/>
      </c>
      <c r="L941" s="3" t="str">
        <f>CONCATENATE("11 11.2 4b")</f>
        <v>11 11.2 4b</v>
      </c>
      <c r="M941" s="3" t="str">
        <f>CONCATENATE("FRTBRN42L50L191D")</f>
        <v>FRTBRN42L50L191D</v>
      </c>
      <c r="N941" s="3" t="s">
        <v>1043</v>
      </c>
      <c r="O941" s="3"/>
      <c r="P941" s="4">
        <v>42783</v>
      </c>
      <c r="Q941" s="3" t="s">
        <v>27</v>
      </c>
      <c r="R941" s="3" t="s">
        <v>28</v>
      </c>
      <c r="S941" s="3" t="s">
        <v>29</v>
      </c>
      <c r="T941" s="5">
        <v>2908.65</v>
      </c>
      <c r="U941" s="5">
        <v>1254.21</v>
      </c>
      <c r="V941" s="5">
        <v>1158.22</v>
      </c>
      <c r="W941" s="3">
        <v>496.22</v>
      </c>
    </row>
    <row r="942" spans="1:23" ht="60.75">
      <c r="A942" s="3" t="s">
        <v>23</v>
      </c>
      <c r="B942" s="3" t="s">
        <v>24</v>
      </c>
      <c r="C942" s="3" t="s">
        <v>35</v>
      </c>
      <c r="D942" s="3" t="s">
        <v>39</v>
      </c>
      <c r="E942" s="3" t="s">
        <v>34</v>
      </c>
      <c r="F942" s="3" t="s">
        <v>170</v>
      </c>
      <c r="G942" s="3">
        <v>2016</v>
      </c>
      <c r="H942" s="3" t="str">
        <f>CONCATENATE("64240673810")</f>
        <v>64240673810</v>
      </c>
      <c r="I942" s="3" t="s">
        <v>31</v>
      </c>
      <c r="J942" s="3" t="s">
        <v>26</v>
      </c>
      <c r="K942" s="3" t="str">
        <f t="shared" ref="K942:K1005" si="35">CONCATENATE("")</f>
        <v/>
      </c>
      <c r="L942" s="3" t="str">
        <f>CONCATENATE("11 11.2 4b")</f>
        <v>11 11.2 4b</v>
      </c>
      <c r="M942" s="3" t="str">
        <f>CONCATENATE("FRTDNJ72B41Z222G")</f>
        <v>FRTDNJ72B41Z222G</v>
      </c>
      <c r="N942" s="3" t="s">
        <v>1044</v>
      </c>
      <c r="O942" s="3"/>
      <c r="P942" s="4">
        <v>42783</v>
      </c>
      <c r="Q942" s="3" t="s">
        <v>27</v>
      </c>
      <c r="R942" s="3" t="s">
        <v>28</v>
      </c>
      <c r="S942" s="3" t="s">
        <v>29</v>
      </c>
      <c r="T942" s="5">
        <v>4990.6000000000004</v>
      </c>
      <c r="U942" s="5">
        <v>2151.9499999999998</v>
      </c>
      <c r="V942" s="5">
        <v>1987.26</v>
      </c>
      <c r="W942" s="3">
        <v>851.39</v>
      </c>
    </row>
    <row r="943" spans="1:23" ht="60.75">
      <c r="A943" s="3" t="s">
        <v>23</v>
      </c>
      <c r="B943" s="3" t="s">
        <v>24</v>
      </c>
      <c r="C943" s="3" t="s">
        <v>35</v>
      </c>
      <c r="D943" s="3" t="s">
        <v>43</v>
      </c>
      <c r="E943" s="3" t="s">
        <v>32</v>
      </c>
      <c r="F943" s="3" t="s">
        <v>78</v>
      </c>
      <c r="G943" s="3">
        <v>2016</v>
      </c>
      <c r="H943" s="3" t="str">
        <f>CONCATENATE("64240377990")</f>
        <v>64240377990</v>
      </c>
      <c r="I943" s="3" t="s">
        <v>25</v>
      </c>
      <c r="J943" s="3" t="s">
        <v>26</v>
      </c>
      <c r="K943" s="3" t="str">
        <f t="shared" si="35"/>
        <v/>
      </c>
      <c r="L943" s="3" t="str">
        <f>CONCATENATE("11 11.1 4b")</f>
        <v>11 11.1 4b</v>
      </c>
      <c r="M943" s="3" t="str">
        <f>CONCATENATE("TNCRZO63D08L500Z")</f>
        <v>TNCRZO63D08L500Z</v>
      </c>
      <c r="N943" s="3" t="s">
        <v>1045</v>
      </c>
      <c r="O943" s="3"/>
      <c r="P943" s="4">
        <v>42783</v>
      </c>
      <c r="Q943" s="3" t="s">
        <v>27</v>
      </c>
      <c r="R943" s="3" t="s">
        <v>28</v>
      </c>
      <c r="S943" s="3" t="s">
        <v>29</v>
      </c>
      <c r="T943" s="5">
        <v>4832.74</v>
      </c>
      <c r="U943" s="5">
        <v>2083.88</v>
      </c>
      <c r="V943" s="5">
        <v>1924.4</v>
      </c>
      <c r="W943" s="3">
        <v>824.46</v>
      </c>
    </row>
    <row r="944" spans="1:23" ht="60.75">
      <c r="A944" s="3" t="s">
        <v>23</v>
      </c>
      <c r="B944" s="3" t="s">
        <v>24</v>
      </c>
      <c r="C944" s="3" t="s">
        <v>35</v>
      </c>
      <c r="D944" s="3" t="s">
        <v>43</v>
      </c>
      <c r="E944" s="3" t="s">
        <v>30</v>
      </c>
      <c r="F944" s="3" t="s">
        <v>113</v>
      </c>
      <c r="G944" s="3">
        <v>2016</v>
      </c>
      <c r="H944" s="3" t="str">
        <f>CONCATENATE("64211006727")</f>
        <v>64211006727</v>
      </c>
      <c r="I944" s="3" t="s">
        <v>25</v>
      </c>
      <c r="J944" s="3" t="s">
        <v>26</v>
      </c>
      <c r="K944" s="3" t="str">
        <f t="shared" si="35"/>
        <v/>
      </c>
      <c r="L944" s="3" t="str">
        <f>CONCATENATE("13 13.1 4a")</f>
        <v>13 13.1 4a</v>
      </c>
      <c r="M944" s="3" t="str">
        <f>CONCATENATE("LNDSTR48C60A327Y")</f>
        <v>LNDSTR48C60A327Y</v>
      </c>
      <c r="N944" s="3" t="s">
        <v>1046</v>
      </c>
      <c r="O944" s="3"/>
      <c r="P944" s="4">
        <v>42783</v>
      </c>
      <c r="Q944" s="3" t="s">
        <v>27</v>
      </c>
      <c r="R944" s="3" t="s">
        <v>28</v>
      </c>
      <c r="S944" s="3" t="s">
        <v>29</v>
      </c>
      <c r="T944" s="5">
        <v>1139.03</v>
      </c>
      <c r="U944" s="3">
        <v>491.15</v>
      </c>
      <c r="V944" s="3">
        <v>453.56</v>
      </c>
      <c r="W944" s="3">
        <v>194.32</v>
      </c>
    </row>
    <row r="945" spans="1:23" ht="60.75">
      <c r="A945" s="3" t="s">
        <v>23</v>
      </c>
      <c r="B945" s="3" t="s">
        <v>24</v>
      </c>
      <c r="C945" s="3" t="s">
        <v>35</v>
      </c>
      <c r="D945" s="3" t="s">
        <v>48</v>
      </c>
      <c r="E945" s="3" t="s">
        <v>30</v>
      </c>
      <c r="F945" s="3" t="s">
        <v>57</v>
      </c>
      <c r="G945" s="3">
        <v>2016</v>
      </c>
      <c r="H945" s="3" t="str">
        <f>CONCATENATE("64240464889")</f>
        <v>64240464889</v>
      </c>
      <c r="I945" s="3" t="s">
        <v>25</v>
      </c>
      <c r="J945" s="3" t="s">
        <v>26</v>
      </c>
      <c r="K945" s="3" t="str">
        <f t="shared" si="35"/>
        <v/>
      </c>
      <c r="L945" s="3" t="str">
        <f>CONCATENATE("11 11.1 4b")</f>
        <v>11 11.1 4b</v>
      </c>
      <c r="M945" s="3" t="str">
        <f>CONCATENATE("HRBMRA73E63Z138N")</f>
        <v>HRBMRA73E63Z138N</v>
      </c>
      <c r="N945" s="3" t="s">
        <v>1047</v>
      </c>
      <c r="O945" s="3"/>
      <c r="P945" s="4">
        <v>42783</v>
      </c>
      <c r="Q945" s="3" t="s">
        <v>27</v>
      </c>
      <c r="R945" s="3" t="s">
        <v>28</v>
      </c>
      <c r="S945" s="3" t="s">
        <v>29</v>
      </c>
      <c r="T945" s="3">
        <v>705.56</v>
      </c>
      <c r="U945" s="3">
        <v>304.24</v>
      </c>
      <c r="V945" s="3">
        <v>280.95</v>
      </c>
      <c r="W945" s="3">
        <v>120.37</v>
      </c>
    </row>
    <row r="946" spans="1:23" ht="60.75">
      <c r="A946" s="3" t="s">
        <v>23</v>
      </c>
      <c r="B946" s="3" t="s">
        <v>24</v>
      </c>
      <c r="C946" s="3" t="s">
        <v>35</v>
      </c>
      <c r="D946" s="3" t="s">
        <v>43</v>
      </c>
      <c r="E946" s="3" t="s">
        <v>34</v>
      </c>
      <c r="F946" s="3" t="s">
        <v>146</v>
      </c>
      <c r="G946" s="3">
        <v>2016</v>
      </c>
      <c r="H946" s="3" t="str">
        <f>CONCATENATE("64240645115")</f>
        <v>64240645115</v>
      </c>
      <c r="I946" s="3" t="s">
        <v>25</v>
      </c>
      <c r="J946" s="3" t="s">
        <v>26</v>
      </c>
      <c r="K946" s="3" t="str">
        <f t="shared" si="35"/>
        <v/>
      </c>
      <c r="L946" s="3" t="str">
        <f>CONCATENATE("11 11.2 4b")</f>
        <v>11 11.2 4b</v>
      </c>
      <c r="M946" s="3" t="str">
        <f>CONCATENATE("FRNCRL72S55I608G")</f>
        <v>FRNCRL72S55I608G</v>
      </c>
      <c r="N946" s="3" t="s">
        <v>1048</v>
      </c>
      <c r="O946" s="3"/>
      <c r="P946" s="4">
        <v>42783</v>
      </c>
      <c r="Q946" s="3" t="s">
        <v>27</v>
      </c>
      <c r="R946" s="3" t="s">
        <v>28</v>
      </c>
      <c r="S946" s="3" t="s">
        <v>29</v>
      </c>
      <c r="T946" s="5">
        <v>33121.08</v>
      </c>
      <c r="U946" s="5">
        <v>14281.81</v>
      </c>
      <c r="V946" s="5">
        <v>13188.81</v>
      </c>
      <c r="W946" s="5">
        <v>5650.46</v>
      </c>
    </row>
    <row r="947" spans="1:23" ht="60.75">
      <c r="A947" s="3" t="s">
        <v>23</v>
      </c>
      <c r="B947" s="3" t="s">
        <v>24</v>
      </c>
      <c r="C947" s="3" t="s">
        <v>35</v>
      </c>
      <c r="D947" s="3" t="s">
        <v>43</v>
      </c>
      <c r="E947" s="3" t="s">
        <v>30</v>
      </c>
      <c r="F947" s="3" t="s">
        <v>109</v>
      </c>
      <c r="G947" s="3">
        <v>2016</v>
      </c>
      <c r="H947" s="3" t="str">
        <f>CONCATENATE("64210984205")</f>
        <v>64210984205</v>
      </c>
      <c r="I947" s="3" t="s">
        <v>25</v>
      </c>
      <c r="J947" s="3" t="s">
        <v>26</v>
      </c>
      <c r="K947" s="3" t="str">
        <f t="shared" si="35"/>
        <v/>
      </c>
      <c r="L947" s="3" t="str">
        <f>CONCATENATE("13 13.1 4a")</f>
        <v>13 13.1 4a</v>
      </c>
      <c r="M947" s="3" t="str">
        <f>CONCATENATE("CTNDNC59A16I654P")</f>
        <v>CTNDNC59A16I654P</v>
      </c>
      <c r="N947" s="3" t="s">
        <v>1049</v>
      </c>
      <c r="O947" s="3"/>
      <c r="P947" s="4">
        <v>42783</v>
      </c>
      <c r="Q947" s="3" t="s">
        <v>27</v>
      </c>
      <c r="R947" s="3" t="s">
        <v>28</v>
      </c>
      <c r="S947" s="3" t="s">
        <v>29</v>
      </c>
      <c r="T947" s="5">
        <v>1021.52</v>
      </c>
      <c r="U947" s="3">
        <v>440.48</v>
      </c>
      <c r="V947" s="3">
        <v>406.77</v>
      </c>
      <c r="W947" s="3">
        <v>174.27</v>
      </c>
    </row>
    <row r="948" spans="1:23" ht="60.75">
      <c r="A948" s="3" t="s">
        <v>23</v>
      </c>
      <c r="B948" s="3" t="s">
        <v>24</v>
      </c>
      <c r="C948" s="3" t="s">
        <v>35</v>
      </c>
      <c r="D948" s="3" t="s">
        <v>43</v>
      </c>
      <c r="E948" s="3" t="s">
        <v>42</v>
      </c>
      <c r="F948" s="3" t="s">
        <v>42</v>
      </c>
      <c r="G948" s="3">
        <v>2016</v>
      </c>
      <c r="H948" s="3" t="str">
        <f>CONCATENATE("64240283024")</f>
        <v>64240283024</v>
      </c>
      <c r="I948" s="3" t="s">
        <v>25</v>
      </c>
      <c r="J948" s="3" t="s">
        <v>26</v>
      </c>
      <c r="K948" s="3" t="str">
        <f t="shared" si="35"/>
        <v/>
      </c>
      <c r="L948" s="3" t="str">
        <f>CONCATENATE("11 11.1 4b")</f>
        <v>11 11.1 4b</v>
      </c>
      <c r="M948" s="3" t="str">
        <f>CONCATENATE("BNZRLD64D02F478B")</f>
        <v>BNZRLD64D02F478B</v>
      </c>
      <c r="N948" s="3" t="s">
        <v>1050</v>
      </c>
      <c r="O948" s="3"/>
      <c r="P948" s="4">
        <v>42783</v>
      </c>
      <c r="Q948" s="3" t="s">
        <v>27</v>
      </c>
      <c r="R948" s="3" t="s">
        <v>28</v>
      </c>
      <c r="S948" s="3" t="s">
        <v>29</v>
      </c>
      <c r="T948" s="5">
        <v>3300.69</v>
      </c>
      <c r="U948" s="5">
        <v>1423.26</v>
      </c>
      <c r="V948" s="5">
        <v>1314.33</v>
      </c>
      <c r="W948" s="3">
        <v>563.1</v>
      </c>
    </row>
    <row r="949" spans="1:23" ht="60.75">
      <c r="A949" s="3" t="s">
        <v>23</v>
      </c>
      <c r="B949" s="3" t="s">
        <v>24</v>
      </c>
      <c r="C949" s="3" t="s">
        <v>35</v>
      </c>
      <c r="D949" s="3" t="s">
        <v>36</v>
      </c>
      <c r="E949" s="3" t="s">
        <v>30</v>
      </c>
      <c r="F949" s="3" t="s">
        <v>257</v>
      </c>
      <c r="G949" s="3">
        <v>2016</v>
      </c>
      <c r="H949" s="3" t="str">
        <f>CONCATENATE("64240590063")</f>
        <v>64240590063</v>
      </c>
      <c r="I949" s="3" t="s">
        <v>31</v>
      </c>
      <c r="J949" s="3" t="s">
        <v>26</v>
      </c>
      <c r="K949" s="3" t="str">
        <f t="shared" si="35"/>
        <v/>
      </c>
      <c r="L949" s="3" t="str">
        <f>CONCATENATE("11 11.1 4b")</f>
        <v>11 11.1 4b</v>
      </c>
      <c r="M949" s="3" t="str">
        <f>CONCATENATE("VRNMKR68P13D869F")</f>
        <v>VRNMKR68P13D869F</v>
      </c>
      <c r="N949" s="3" t="s">
        <v>1051</v>
      </c>
      <c r="O949" s="3"/>
      <c r="P949" s="4">
        <v>42783</v>
      </c>
      <c r="Q949" s="3" t="s">
        <v>27</v>
      </c>
      <c r="R949" s="3" t="s">
        <v>28</v>
      </c>
      <c r="S949" s="3" t="s">
        <v>29</v>
      </c>
      <c r="T949" s="3">
        <v>629.57000000000005</v>
      </c>
      <c r="U949" s="3">
        <v>271.47000000000003</v>
      </c>
      <c r="V949" s="3">
        <v>250.69</v>
      </c>
      <c r="W949" s="3">
        <v>107.41</v>
      </c>
    </row>
    <row r="950" spans="1:23" ht="60.75">
      <c r="A950" s="3" t="s">
        <v>23</v>
      </c>
      <c r="B950" s="3" t="s">
        <v>24</v>
      </c>
      <c r="C950" s="3" t="s">
        <v>35</v>
      </c>
      <c r="D950" s="3" t="s">
        <v>43</v>
      </c>
      <c r="E950" s="3" t="s">
        <v>32</v>
      </c>
      <c r="F950" s="3" t="s">
        <v>119</v>
      </c>
      <c r="G950" s="3">
        <v>2016</v>
      </c>
      <c r="H950" s="3" t="str">
        <f>CONCATENATE("64240582342")</f>
        <v>64240582342</v>
      </c>
      <c r="I950" s="3" t="s">
        <v>25</v>
      </c>
      <c r="J950" s="3" t="s">
        <v>26</v>
      </c>
      <c r="K950" s="3" t="str">
        <f t="shared" si="35"/>
        <v/>
      </c>
      <c r="L950" s="3" t="str">
        <f>CONCATENATE("10 10.1 4a")</f>
        <v>10 10.1 4a</v>
      </c>
      <c r="M950" s="3" t="str">
        <f>CONCATENATE("GNTGPP55P25B636G")</f>
        <v>GNTGPP55P25B636G</v>
      </c>
      <c r="N950" s="3" t="s">
        <v>1052</v>
      </c>
      <c r="O950" s="3"/>
      <c r="P950" s="4">
        <v>42783</v>
      </c>
      <c r="Q950" s="3" t="s">
        <v>27</v>
      </c>
      <c r="R950" s="3" t="s">
        <v>28</v>
      </c>
      <c r="S950" s="3" t="s">
        <v>29</v>
      </c>
      <c r="T950" s="5">
        <v>4218.8999999999996</v>
      </c>
      <c r="U950" s="5">
        <v>1819.19</v>
      </c>
      <c r="V950" s="5">
        <v>1679.97</v>
      </c>
      <c r="W950" s="3">
        <v>719.74</v>
      </c>
    </row>
    <row r="951" spans="1:23" ht="60.75">
      <c r="A951" s="3" t="s">
        <v>23</v>
      </c>
      <c r="B951" s="3" t="s">
        <v>24</v>
      </c>
      <c r="C951" s="3" t="s">
        <v>35</v>
      </c>
      <c r="D951" s="3" t="s">
        <v>48</v>
      </c>
      <c r="E951" s="3" t="s">
        <v>30</v>
      </c>
      <c r="F951" s="3" t="s">
        <v>157</v>
      </c>
      <c r="G951" s="3">
        <v>2016</v>
      </c>
      <c r="H951" s="3" t="str">
        <f>CONCATENATE("64240337325")</f>
        <v>64240337325</v>
      </c>
      <c r="I951" s="3" t="s">
        <v>25</v>
      </c>
      <c r="J951" s="3" t="s">
        <v>26</v>
      </c>
      <c r="K951" s="3" t="str">
        <f t="shared" si="35"/>
        <v/>
      </c>
      <c r="L951" s="3" t="str">
        <f>CONCATENATE("11 11.2 4b")</f>
        <v>11 11.2 4b</v>
      </c>
      <c r="M951" s="3" t="str">
        <f>CONCATENATE("FRTFBA66T16I436F")</f>
        <v>FRTFBA66T16I436F</v>
      </c>
      <c r="N951" s="3" t="s">
        <v>1053</v>
      </c>
      <c r="O951" s="3"/>
      <c r="P951" s="4">
        <v>42783</v>
      </c>
      <c r="Q951" s="3" t="s">
        <v>27</v>
      </c>
      <c r="R951" s="3" t="s">
        <v>28</v>
      </c>
      <c r="S951" s="3" t="s">
        <v>29</v>
      </c>
      <c r="T951" s="3">
        <v>324.77999999999997</v>
      </c>
      <c r="U951" s="3">
        <v>140.05000000000001</v>
      </c>
      <c r="V951" s="3">
        <v>129.33000000000001</v>
      </c>
      <c r="W951" s="3">
        <v>55.4</v>
      </c>
    </row>
    <row r="952" spans="1:23" ht="60.75">
      <c r="A952" s="3" t="s">
        <v>23</v>
      </c>
      <c r="B952" s="3" t="s">
        <v>24</v>
      </c>
      <c r="C952" s="3" t="s">
        <v>35</v>
      </c>
      <c r="D952" s="3" t="s">
        <v>48</v>
      </c>
      <c r="E952" s="3" t="s">
        <v>49</v>
      </c>
      <c r="F952" s="3" t="s">
        <v>50</v>
      </c>
      <c r="G952" s="3">
        <v>2016</v>
      </c>
      <c r="H952" s="3" t="str">
        <f>CONCATENATE("64240481792")</f>
        <v>64240481792</v>
      </c>
      <c r="I952" s="3" t="s">
        <v>31</v>
      </c>
      <c r="J952" s="3" t="s">
        <v>26</v>
      </c>
      <c r="K952" s="3" t="str">
        <f t="shared" si="35"/>
        <v/>
      </c>
      <c r="L952" s="3" t="str">
        <f>CONCATENATE("11 11.2 4b")</f>
        <v>11 11.2 4b</v>
      </c>
      <c r="M952" s="3" t="str">
        <f>CONCATENATE("PRSMRC83E25L366J")</f>
        <v>PRSMRC83E25L366J</v>
      </c>
      <c r="N952" s="3" t="s">
        <v>1054</v>
      </c>
      <c r="O952" s="3"/>
      <c r="P952" s="4">
        <v>42783</v>
      </c>
      <c r="Q952" s="3" t="s">
        <v>27</v>
      </c>
      <c r="R952" s="3" t="s">
        <v>28</v>
      </c>
      <c r="S952" s="3" t="s">
        <v>29</v>
      </c>
      <c r="T952" s="3">
        <v>814.05</v>
      </c>
      <c r="U952" s="3">
        <v>351.02</v>
      </c>
      <c r="V952" s="3">
        <v>324.14999999999998</v>
      </c>
      <c r="W952" s="3">
        <v>138.88</v>
      </c>
    </row>
    <row r="953" spans="1:23" ht="36.75">
      <c r="A953" s="3" t="s">
        <v>23</v>
      </c>
      <c r="B953" s="3" t="s">
        <v>24</v>
      </c>
      <c r="C953" s="3" t="s">
        <v>35</v>
      </c>
      <c r="D953" s="3" t="s">
        <v>43</v>
      </c>
      <c r="E953" s="3" t="s">
        <v>32</v>
      </c>
      <c r="F953" s="3" t="s">
        <v>78</v>
      </c>
      <c r="G953" s="3">
        <v>2016</v>
      </c>
      <c r="H953" s="3" t="str">
        <f>CONCATENATE("64240687992")</f>
        <v>64240687992</v>
      </c>
      <c r="I953" s="3" t="s">
        <v>25</v>
      </c>
      <c r="J953" s="3" t="s">
        <v>26</v>
      </c>
      <c r="K953" s="3" t="str">
        <f t="shared" si="35"/>
        <v/>
      </c>
      <c r="L953" s="3" t="str">
        <f>CONCATENATE("11 11.2 4b")</f>
        <v>11 11.2 4b</v>
      </c>
      <c r="M953" s="3" t="str">
        <f>CONCATENATE("02496910411")</f>
        <v>02496910411</v>
      </c>
      <c r="N953" s="3" t="s">
        <v>1055</v>
      </c>
      <c r="O953" s="3"/>
      <c r="P953" s="4">
        <v>42783</v>
      </c>
      <c r="Q953" s="3" t="s">
        <v>27</v>
      </c>
      <c r="R953" s="3" t="s">
        <v>28</v>
      </c>
      <c r="S953" s="3" t="s">
        <v>29</v>
      </c>
      <c r="T953" s="5">
        <v>6242.92</v>
      </c>
      <c r="U953" s="5">
        <v>2691.95</v>
      </c>
      <c r="V953" s="5">
        <v>2485.9299999999998</v>
      </c>
      <c r="W953" s="5">
        <v>1065.04</v>
      </c>
    </row>
    <row r="954" spans="1:23" ht="60.75">
      <c r="A954" s="3" t="s">
        <v>23</v>
      </c>
      <c r="B954" s="3" t="s">
        <v>24</v>
      </c>
      <c r="C954" s="3" t="s">
        <v>35</v>
      </c>
      <c r="D954" s="3" t="s">
        <v>48</v>
      </c>
      <c r="E954" s="3" t="s">
        <v>30</v>
      </c>
      <c r="F954" s="3" t="s">
        <v>91</v>
      </c>
      <c r="G954" s="3">
        <v>2016</v>
      </c>
      <c r="H954" s="3" t="str">
        <f>CONCATENATE("64210515728")</f>
        <v>64210515728</v>
      </c>
      <c r="I954" s="3" t="s">
        <v>25</v>
      </c>
      <c r="J954" s="3" t="s">
        <v>26</v>
      </c>
      <c r="K954" s="3" t="str">
        <f t="shared" si="35"/>
        <v/>
      </c>
      <c r="L954" s="3" t="str">
        <f>CONCATENATE("13 13.1 4a")</f>
        <v>13 13.1 4a</v>
      </c>
      <c r="M954" s="3" t="str">
        <f>CONCATENATE("FCCLVC66M27F460S")</f>
        <v>FCCLVC66M27F460S</v>
      </c>
      <c r="N954" s="3" t="s">
        <v>1056</v>
      </c>
      <c r="O954" s="3"/>
      <c r="P954" s="4">
        <v>42783</v>
      </c>
      <c r="Q954" s="3" t="s">
        <v>27</v>
      </c>
      <c r="R954" s="3" t="s">
        <v>28</v>
      </c>
      <c r="S954" s="3" t="s">
        <v>29</v>
      </c>
      <c r="T954" s="5">
        <v>5400</v>
      </c>
      <c r="U954" s="5">
        <v>2328.48</v>
      </c>
      <c r="V954" s="5">
        <v>2150.2800000000002</v>
      </c>
      <c r="W954" s="3">
        <v>921.24</v>
      </c>
    </row>
    <row r="955" spans="1:23" ht="60.75">
      <c r="A955" s="3" t="s">
        <v>23</v>
      </c>
      <c r="B955" s="3" t="s">
        <v>24</v>
      </c>
      <c r="C955" s="3" t="s">
        <v>35</v>
      </c>
      <c r="D955" s="3" t="s">
        <v>48</v>
      </c>
      <c r="E955" s="3" t="s">
        <v>30</v>
      </c>
      <c r="F955" s="3" t="s">
        <v>289</v>
      </c>
      <c r="G955" s="3">
        <v>2016</v>
      </c>
      <c r="H955" s="3" t="str">
        <f>CONCATENATE("64240454286")</f>
        <v>64240454286</v>
      </c>
      <c r="I955" s="3" t="s">
        <v>31</v>
      </c>
      <c r="J955" s="3" t="s">
        <v>26</v>
      </c>
      <c r="K955" s="3" t="str">
        <f t="shared" si="35"/>
        <v/>
      </c>
      <c r="L955" s="3" t="str">
        <f>CONCATENATE("11 11.2 4b")</f>
        <v>11 11.2 4b</v>
      </c>
      <c r="M955" s="3" t="str">
        <f>CONCATENATE("RSSVCN50P17I156J")</f>
        <v>RSSVCN50P17I156J</v>
      </c>
      <c r="N955" s="3" t="s">
        <v>1057</v>
      </c>
      <c r="O955" s="3"/>
      <c r="P955" s="4">
        <v>42783</v>
      </c>
      <c r="Q955" s="3" t="s">
        <v>27</v>
      </c>
      <c r="R955" s="3" t="s">
        <v>28</v>
      </c>
      <c r="S955" s="3" t="s">
        <v>29</v>
      </c>
      <c r="T955" s="5">
        <v>2681.34</v>
      </c>
      <c r="U955" s="5">
        <v>1156.19</v>
      </c>
      <c r="V955" s="5">
        <v>1067.71</v>
      </c>
      <c r="W955" s="3">
        <v>457.44</v>
      </c>
    </row>
    <row r="956" spans="1:23" ht="60.75">
      <c r="A956" s="3" t="s">
        <v>23</v>
      </c>
      <c r="B956" s="3" t="s">
        <v>24</v>
      </c>
      <c r="C956" s="3" t="s">
        <v>35</v>
      </c>
      <c r="D956" s="3" t="s">
        <v>48</v>
      </c>
      <c r="E956" s="3" t="s">
        <v>30</v>
      </c>
      <c r="F956" s="3" t="s">
        <v>91</v>
      </c>
      <c r="G956" s="3">
        <v>2016</v>
      </c>
      <c r="H956" s="3" t="str">
        <f>CONCATENATE("64210529380")</f>
        <v>64210529380</v>
      </c>
      <c r="I956" s="3" t="s">
        <v>25</v>
      </c>
      <c r="J956" s="3" t="s">
        <v>26</v>
      </c>
      <c r="K956" s="3" t="str">
        <f t="shared" si="35"/>
        <v/>
      </c>
      <c r="L956" s="3" t="str">
        <f>CONCATENATE("13 13.1 4a")</f>
        <v>13 13.1 4a</v>
      </c>
      <c r="M956" s="3" t="str">
        <f>CONCATENATE("QTTCTA57C45H501N")</f>
        <v>QTTCTA57C45H501N</v>
      </c>
      <c r="N956" s="3" t="s">
        <v>1058</v>
      </c>
      <c r="O956" s="3"/>
      <c r="P956" s="4">
        <v>42783</v>
      </c>
      <c r="Q956" s="3" t="s">
        <v>27</v>
      </c>
      <c r="R956" s="3" t="s">
        <v>28</v>
      </c>
      <c r="S956" s="3" t="s">
        <v>29</v>
      </c>
      <c r="T956" s="5">
        <v>2780.1</v>
      </c>
      <c r="U956" s="5">
        <v>1198.78</v>
      </c>
      <c r="V956" s="5">
        <v>1107.04</v>
      </c>
      <c r="W956" s="3">
        <v>474.28</v>
      </c>
    </row>
    <row r="957" spans="1:23" ht="72.75">
      <c r="A957" s="3" t="s">
        <v>23</v>
      </c>
      <c r="B957" s="3" t="s">
        <v>24</v>
      </c>
      <c r="C957" s="3" t="s">
        <v>35</v>
      </c>
      <c r="D957" s="3" t="s">
        <v>39</v>
      </c>
      <c r="E957" s="3" t="s">
        <v>30</v>
      </c>
      <c r="F957" s="3" t="s">
        <v>84</v>
      </c>
      <c r="G957" s="3">
        <v>2016</v>
      </c>
      <c r="H957" s="3" t="str">
        <f>CONCATENATE("64210452633")</f>
        <v>64210452633</v>
      </c>
      <c r="I957" s="3" t="s">
        <v>25</v>
      </c>
      <c r="J957" s="3" t="s">
        <v>26</v>
      </c>
      <c r="K957" s="3" t="str">
        <f t="shared" si="35"/>
        <v/>
      </c>
      <c r="L957" s="3" t="str">
        <f>CONCATENATE("13 13.1 4a")</f>
        <v>13 13.1 4a</v>
      </c>
      <c r="M957" s="3" t="str">
        <f>CONCATENATE("MNGGDU83T05D451P")</f>
        <v>MNGGDU83T05D451P</v>
      </c>
      <c r="N957" s="3" t="s">
        <v>1059</v>
      </c>
      <c r="O957" s="3"/>
      <c r="P957" s="4">
        <v>42783</v>
      </c>
      <c r="Q957" s="3" t="s">
        <v>27</v>
      </c>
      <c r="R957" s="3" t="s">
        <v>28</v>
      </c>
      <c r="S957" s="3" t="s">
        <v>29</v>
      </c>
      <c r="T957" s="5">
        <v>1967.96</v>
      </c>
      <c r="U957" s="3">
        <v>848.58</v>
      </c>
      <c r="V957" s="3">
        <v>783.64</v>
      </c>
      <c r="W957" s="3">
        <v>335.74</v>
      </c>
    </row>
    <row r="958" spans="1:23" ht="60.75">
      <c r="A958" s="3" t="s">
        <v>23</v>
      </c>
      <c r="B958" s="3" t="s">
        <v>24</v>
      </c>
      <c r="C958" s="3" t="s">
        <v>35</v>
      </c>
      <c r="D958" s="3" t="s">
        <v>36</v>
      </c>
      <c r="E958" s="3" t="s">
        <v>30</v>
      </c>
      <c r="F958" s="3" t="s">
        <v>323</v>
      </c>
      <c r="G958" s="3">
        <v>2016</v>
      </c>
      <c r="H958" s="3" t="str">
        <f>CONCATENATE("64240916995")</f>
        <v>64240916995</v>
      </c>
      <c r="I958" s="3" t="s">
        <v>25</v>
      </c>
      <c r="J958" s="3" t="s">
        <v>26</v>
      </c>
      <c r="K958" s="3" t="str">
        <f t="shared" si="35"/>
        <v/>
      </c>
      <c r="L958" s="3" t="str">
        <f>CONCATENATE("11 11.2 4b")</f>
        <v>11 11.2 4b</v>
      </c>
      <c r="M958" s="3" t="str">
        <f>CONCATENATE("DGCLDA64C27A462V")</f>
        <v>DGCLDA64C27A462V</v>
      </c>
      <c r="N958" s="3" t="s">
        <v>1060</v>
      </c>
      <c r="O958" s="3"/>
      <c r="P958" s="4">
        <v>42783</v>
      </c>
      <c r="Q958" s="3" t="s">
        <v>27</v>
      </c>
      <c r="R958" s="3" t="s">
        <v>28</v>
      </c>
      <c r="S958" s="3" t="s">
        <v>29</v>
      </c>
      <c r="T958" s="5">
        <v>1804.56</v>
      </c>
      <c r="U958" s="3">
        <v>778.13</v>
      </c>
      <c r="V958" s="3">
        <v>718.58</v>
      </c>
      <c r="W958" s="3">
        <v>307.85000000000002</v>
      </c>
    </row>
    <row r="959" spans="1:23" ht="60.75">
      <c r="A959" s="3" t="s">
        <v>23</v>
      </c>
      <c r="B959" s="3" t="s">
        <v>24</v>
      </c>
      <c r="C959" s="3" t="s">
        <v>35</v>
      </c>
      <c r="D959" s="3" t="s">
        <v>48</v>
      </c>
      <c r="E959" s="3" t="s">
        <v>33</v>
      </c>
      <c r="F959" s="3" t="s">
        <v>160</v>
      </c>
      <c r="G959" s="3">
        <v>2016</v>
      </c>
      <c r="H959" s="3" t="str">
        <f>CONCATENATE("64210856858")</f>
        <v>64210856858</v>
      </c>
      <c r="I959" s="3" t="s">
        <v>25</v>
      </c>
      <c r="J959" s="3" t="s">
        <v>26</v>
      </c>
      <c r="K959" s="3" t="str">
        <f t="shared" si="35"/>
        <v/>
      </c>
      <c r="L959" s="3" t="str">
        <f>CONCATENATE("13 13.1 4a")</f>
        <v>13 13.1 4a</v>
      </c>
      <c r="M959" s="3" t="str">
        <f>CONCATENATE("SBBMRZ58R08M078P")</f>
        <v>SBBMRZ58R08M078P</v>
      </c>
      <c r="N959" s="3" t="s">
        <v>161</v>
      </c>
      <c r="O959" s="3"/>
      <c r="P959" s="4">
        <v>42783</v>
      </c>
      <c r="Q959" s="3" t="s">
        <v>27</v>
      </c>
      <c r="R959" s="3" t="s">
        <v>28</v>
      </c>
      <c r="S959" s="3" t="s">
        <v>29</v>
      </c>
      <c r="T959" s="5">
        <v>4590</v>
      </c>
      <c r="U959" s="5">
        <v>1979.21</v>
      </c>
      <c r="V959" s="5">
        <v>1827.74</v>
      </c>
      <c r="W959" s="3">
        <v>783.05</v>
      </c>
    </row>
    <row r="960" spans="1:23" ht="36.75">
      <c r="A960" s="3" t="s">
        <v>23</v>
      </c>
      <c r="B960" s="3" t="s">
        <v>24</v>
      </c>
      <c r="C960" s="3" t="s">
        <v>35</v>
      </c>
      <c r="D960" s="3" t="s">
        <v>48</v>
      </c>
      <c r="E960" s="3" t="s">
        <v>135</v>
      </c>
      <c r="F960" s="3" t="s">
        <v>136</v>
      </c>
      <c r="G960" s="3">
        <v>2016</v>
      </c>
      <c r="H960" s="3" t="str">
        <f>CONCATENATE("64240514998")</f>
        <v>64240514998</v>
      </c>
      <c r="I960" s="3" t="s">
        <v>25</v>
      </c>
      <c r="J960" s="3" t="s">
        <v>26</v>
      </c>
      <c r="K960" s="3" t="str">
        <f t="shared" si="35"/>
        <v/>
      </c>
      <c r="L960" s="3" t="str">
        <f>CONCATENATE("11 11.2 4b")</f>
        <v>11 11.2 4b</v>
      </c>
      <c r="M960" s="3" t="str">
        <f>CONCATENATE("92022730433")</f>
        <v>92022730433</v>
      </c>
      <c r="N960" s="3" t="s">
        <v>1061</v>
      </c>
      <c r="O960" s="3"/>
      <c r="P960" s="4">
        <v>42783</v>
      </c>
      <c r="Q960" s="3" t="s">
        <v>27</v>
      </c>
      <c r="R960" s="3" t="s">
        <v>28</v>
      </c>
      <c r="S960" s="3" t="s">
        <v>29</v>
      </c>
      <c r="T960" s="5">
        <v>31709.4</v>
      </c>
      <c r="U960" s="5">
        <v>13673.09</v>
      </c>
      <c r="V960" s="5">
        <v>12626.68</v>
      </c>
      <c r="W960" s="5">
        <v>5409.63</v>
      </c>
    </row>
    <row r="961" spans="1:23" ht="60.75">
      <c r="A961" s="3" t="s">
        <v>23</v>
      </c>
      <c r="B961" s="3" t="s">
        <v>24</v>
      </c>
      <c r="C961" s="3" t="s">
        <v>35</v>
      </c>
      <c r="D961" s="3" t="s">
        <v>48</v>
      </c>
      <c r="E961" s="3" t="s">
        <v>49</v>
      </c>
      <c r="F961" s="3" t="s">
        <v>80</v>
      </c>
      <c r="G961" s="3">
        <v>2016</v>
      </c>
      <c r="H961" s="3" t="str">
        <f>CONCATENATE("64240260972")</f>
        <v>64240260972</v>
      </c>
      <c r="I961" s="3" t="s">
        <v>25</v>
      </c>
      <c r="J961" s="3" t="s">
        <v>26</v>
      </c>
      <c r="K961" s="3" t="str">
        <f t="shared" si="35"/>
        <v/>
      </c>
      <c r="L961" s="3" t="str">
        <f>CONCATENATE("11 11.2 4b")</f>
        <v>11 11.2 4b</v>
      </c>
      <c r="M961" s="3" t="str">
        <f>CONCATENATE("GVGSFN54M48B474X")</f>
        <v>GVGSFN54M48B474X</v>
      </c>
      <c r="N961" s="3" t="s">
        <v>1062</v>
      </c>
      <c r="O961" s="3"/>
      <c r="P961" s="4">
        <v>42783</v>
      </c>
      <c r="Q961" s="3" t="s">
        <v>27</v>
      </c>
      <c r="R961" s="3" t="s">
        <v>28</v>
      </c>
      <c r="S961" s="3" t="s">
        <v>29</v>
      </c>
      <c r="T961" s="5">
        <v>1051.9100000000001</v>
      </c>
      <c r="U961" s="3">
        <v>453.58</v>
      </c>
      <c r="V961" s="3">
        <v>418.87</v>
      </c>
      <c r="W961" s="3">
        <v>179.46</v>
      </c>
    </row>
    <row r="962" spans="1:23" ht="60.75">
      <c r="A962" s="3" t="s">
        <v>23</v>
      </c>
      <c r="B962" s="3" t="s">
        <v>24</v>
      </c>
      <c r="C962" s="3" t="s">
        <v>35</v>
      </c>
      <c r="D962" s="3" t="s">
        <v>39</v>
      </c>
      <c r="E962" s="3" t="s">
        <v>32</v>
      </c>
      <c r="F962" s="3" t="s">
        <v>355</v>
      </c>
      <c r="G962" s="3">
        <v>2016</v>
      </c>
      <c r="H962" s="3" t="str">
        <f>CONCATENATE("64240588703")</f>
        <v>64240588703</v>
      </c>
      <c r="I962" s="3" t="s">
        <v>25</v>
      </c>
      <c r="J962" s="3" t="s">
        <v>26</v>
      </c>
      <c r="K962" s="3" t="str">
        <f t="shared" si="35"/>
        <v/>
      </c>
      <c r="L962" s="3" t="str">
        <f>CONCATENATE("11 11.2 4b")</f>
        <v>11 11.2 4b</v>
      </c>
      <c r="M962" s="3" t="str">
        <f>CONCATENATE("PSRSRA65C29E690C")</f>
        <v>PSRSRA65C29E690C</v>
      </c>
      <c r="N962" s="3" t="s">
        <v>1063</v>
      </c>
      <c r="O962" s="3"/>
      <c r="P962" s="4">
        <v>42783</v>
      </c>
      <c r="Q962" s="3" t="s">
        <v>27</v>
      </c>
      <c r="R962" s="3" t="s">
        <v>28</v>
      </c>
      <c r="S962" s="3" t="s">
        <v>29</v>
      </c>
      <c r="T962" s="3">
        <v>377.3</v>
      </c>
      <c r="U962" s="3">
        <v>162.69</v>
      </c>
      <c r="V962" s="3">
        <v>150.24</v>
      </c>
      <c r="W962" s="3">
        <v>64.37</v>
      </c>
    </row>
    <row r="963" spans="1:23" ht="60.75">
      <c r="A963" s="3" t="s">
        <v>23</v>
      </c>
      <c r="B963" s="3" t="s">
        <v>24</v>
      </c>
      <c r="C963" s="3" t="s">
        <v>35</v>
      </c>
      <c r="D963" s="3" t="s">
        <v>48</v>
      </c>
      <c r="E963" s="3" t="s">
        <v>30</v>
      </c>
      <c r="F963" s="3" t="s">
        <v>91</v>
      </c>
      <c r="G963" s="3">
        <v>2016</v>
      </c>
      <c r="H963" s="3" t="str">
        <f>CONCATENATE("64210515587")</f>
        <v>64210515587</v>
      </c>
      <c r="I963" s="3" t="s">
        <v>25</v>
      </c>
      <c r="J963" s="3" t="s">
        <v>26</v>
      </c>
      <c r="K963" s="3" t="str">
        <f t="shared" si="35"/>
        <v/>
      </c>
      <c r="L963" s="3" t="str">
        <f>CONCATENATE("13 13.1 4a")</f>
        <v>13 13.1 4a</v>
      </c>
      <c r="M963" s="3" t="str">
        <f>CONCATENATE("FRRMRZ71P26B474R")</f>
        <v>FRRMRZ71P26B474R</v>
      </c>
      <c r="N963" s="3" t="s">
        <v>1064</v>
      </c>
      <c r="O963" s="3"/>
      <c r="P963" s="4">
        <v>42783</v>
      </c>
      <c r="Q963" s="3" t="s">
        <v>27</v>
      </c>
      <c r="R963" s="3" t="s">
        <v>28</v>
      </c>
      <c r="S963" s="3" t="s">
        <v>29</v>
      </c>
      <c r="T963" s="5">
        <v>1672.97</v>
      </c>
      <c r="U963" s="3">
        <v>721.38</v>
      </c>
      <c r="V963" s="3">
        <v>666.18</v>
      </c>
      <c r="W963" s="3">
        <v>285.41000000000003</v>
      </c>
    </row>
    <row r="964" spans="1:23" ht="60.75">
      <c r="A964" s="3" t="s">
        <v>23</v>
      </c>
      <c r="B964" s="3" t="s">
        <v>24</v>
      </c>
      <c r="C964" s="3" t="s">
        <v>35</v>
      </c>
      <c r="D964" s="3" t="s">
        <v>48</v>
      </c>
      <c r="E964" s="3" t="s">
        <v>30</v>
      </c>
      <c r="F964" s="3" t="s">
        <v>157</v>
      </c>
      <c r="G964" s="3">
        <v>2016</v>
      </c>
      <c r="H964" s="3" t="str">
        <f>CONCATENATE("64210887002")</f>
        <v>64210887002</v>
      </c>
      <c r="I964" s="3" t="s">
        <v>25</v>
      </c>
      <c r="J964" s="3" t="s">
        <v>26</v>
      </c>
      <c r="K964" s="3" t="str">
        <f t="shared" si="35"/>
        <v/>
      </c>
      <c r="L964" s="3" t="str">
        <f>CONCATENATE("13 13.1 4a")</f>
        <v>13 13.1 4a</v>
      </c>
      <c r="M964" s="3" t="str">
        <f>CONCATENATE("MCCTZN72H58F454M")</f>
        <v>MCCTZN72H58F454M</v>
      </c>
      <c r="N964" s="3" t="s">
        <v>1065</v>
      </c>
      <c r="O964" s="3"/>
      <c r="P964" s="4">
        <v>42783</v>
      </c>
      <c r="Q964" s="3" t="s">
        <v>27</v>
      </c>
      <c r="R964" s="3" t="s">
        <v>28</v>
      </c>
      <c r="S964" s="3" t="s">
        <v>29</v>
      </c>
      <c r="T964" s="5">
        <v>1033.75</v>
      </c>
      <c r="U964" s="3">
        <v>445.75</v>
      </c>
      <c r="V964" s="3">
        <v>411.64</v>
      </c>
      <c r="W964" s="3">
        <v>176.36</v>
      </c>
    </row>
    <row r="965" spans="1:23" ht="60.75">
      <c r="A965" s="3" t="s">
        <v>23</v>
      </c>
      <c r="B965" s="3" t="s">
        <v>24</v>
      </c>
      <c r="C965" s="3" t="s">
        <v>35</v>
      </c>
      <c r="D965" s="3" t="s">
        <v>48</v>
      </c>
      <c r="E965" s="3" t="s">
        <v>49</v>
      </c>
      <c r="F965" s="3" t="s">
        <v>50</v>
      </c>
      <c r="G965" s="3">
        <v>2016</v>
      </c>
      <c r="H965" s="3" t="str">
        <f>CONCATENATE("64240657953")</f>
        <v>64240657953</v>
      </c>
      <c r="I965" s="3" t="s">
        <v>25</v>
      </c>
      <c r="J965" s="3" t="s">
        <v>26</v>
      </c>
      <c r="K965" s="3" t="str">
        <f t="shared" si="35"/>
        <v/>
      </c>
      <c r="L965" s="3" t="str">
        <f>CONCATENATE("11 11.2 4b")</f>
        <v>11 11.2 4b</v>
      </c>
      <c r="M965" s="3" t="str">
        <f>CONCATENATE("BRTGDU85T19B474U")</f>
        <v>BRTGDU85T19B474U</v>
      </c>
      <c r="N965" s="3" t="s">
        <v>798</v>
      </c>
      <c r="O965" s="3"/>
      <c r="P965" s="4">
        <v>42783</v>
      </c>
      <c r="Q965" s="3" t="s">
        <v>27</v>
      </c>
      <c r="R965" s="3" t="s">
        <v>28</v>
      </c>
      <c r="S965" s="3" t="s">
        <v>29</v>
      </c>
      <c r="T965" s="3">
        <v>472.77</v>
      </c>
      <c r="U965" s="3">
        <v>203.86</v>
      </c>
      <c r="V965" s="3">
        <v>188.26</v>
      </c>
      <c r="W965" s="3">
        <v>80.650000000000006</v>
      </c>
    </row>
    <row r="966" spans="1:23" ht="60.75">
      <c r="A966" s="3" t="s">
        <v>23</v>
      </c>
      <c r="B966" s="3" t="s">
        <v>24</v>
      </c>
      <c r="C966" s="3" t="s">
        <v>35</v>
      </c>
      <c r="D966" s="3" t="s">
        <v>39</v>
      </c>
      <c r="E966" s="3" t="s">
        <v>30</v>
      </c>
      <c r="F966" s="3" t="s">
        <v>196</v>
      </c>
      <c r="G966" s="3">
        <v>2016</v>
      </c>
      <c r="H966" s="3" t="str">
        <f>CONCATENATE("64210865966")</f>
        <v>64210865966</v>
      </c>
      <c r="I966" s="3" t="s">
        <v>25</v>
      </c>
      <c r="J966" s="3" t="s">
        <v>26</v>
      </c>
      <c r="K966" s="3" t="str">
        <f t="shared" si="35"/>
        <v/>
      </c>
      <c r="L966" s="3" t="str">
        <f>CONCATENATE("13 13.1 4a")</f>
        <v>13 13.1 4a</v>
      </c>
      <c r="M966" s="3" t="str">
        <f>CONCATENATE("CRSGNN32E20I653Z")</f>
        <v>CRSGNN32E20I653Z</v>
      </c>
      <c r="N966" s="3" t="s">
        <v>1066</v>
      </c>
      <c r="O966" s="3"/>
      <c r="P966" s="4">
        <v>42783</v>
      </c>
      <c r="Q966" s="3" t="s">
        <v>27</v>
      </c>
      <c r="R966" s="3" t="s">
        <v>28</v>
      </c>
      <c r="S966" s="3" t="s">
        <v>29</v>
      </c>
      <c r="T966" s="3">
        <v>312.49</v>
      </c>
      <c r="U966" s="3">
        <v>134.75</v>
      </c>
      <c r="V966" s="3">
        <v>124.43</v>
      </c>
      <c r="W966" s="3">
        <v>53.31</v>
      </c>
    </row>
    <row r="967" spans="1:23" ht="72.75">
      <c r="A967" s="3" t="s">
        <v>23</v>
      </c>
      <c r="B967" s="3" t="s">
        <v>24</v>
      </c>
      <c r="C967" s="3" t="s">
        <v>35</v>
      </c>
      <c r="D967" s="3" t="s">
        <v>43</v>
      </c>
      <c r="E967" s="3" t="s">
        <v>30</v>
      </c>
      <c r="F967" s="3" t="s">
        <v>124</v>
      </c>
      <c r="G967" s="3">
        <v>2016</v>
      </c>
      <c r="H967" s="3" t="str">
        <f>CONCATENATE("64240242814")</f>
        <v>64240242814</v>
      </c>
      <c r="I967" s="3" t="s">
        <v>25</v>
      </c>
      <c r="J967" s="3" t="s">
        <v>26</v>
      </c>
      <c r="K967" s="3" t="str">
        <f t="shared" si="35"/>
        <v/>
      </c>
      <c r="L967" s="3" t="str">
        <f>CONCATENATE("11 11.1 4b")</f>
        <v>11 11.1 4b</v>
      </c>
      <c r="M967" s="3" t="str">
        <f>CONCATENATE("MRNGNN67D03L498W")</f>
        <v>MRNGNN67D03L498W</v>
      </c>
      <c r="N967" s="3" t="s">
        <v>1067</v>
      </c>
      <c r="O967" s="3"/>
      <c r="P967" s="4">
        <v>42783</v>
      </c>
      <c r="Q967" s="3" t="s">
        <v>27</v>
      </c>
      <c r="R967" s="3" t="s">
        <v>28</v>
      </c>
      <c r="S967" s="3" t="s">
        <v>29</v>
      </c>
      <c r="T967" s="5">
        <v>2581.42</v>
      </c>
      <c r="U967" s="5">
        <v>1113.1099999999999</v>
      </c>
      <c r="V967" s="5">
        <v>1027.92</v>
      </c>
      <c r="W967" s="3">
        <v>440.39</v>
      </c>
    </row>
    <row r="968" spans="1:23" ht="60.75">
      <c r="A968" s="3" t="s">
        <v>23</v>
      </c>
      <c r="B968" s="3" t="s">
        <v>24</v>
      </c>
      <c r="C968" s="3" t="s">
        <v>35</v>
      </c>
      <c r="D968" s="3" t="s">
        <v>48</v>
      </c>
      <c r="E968" s="3" t="s">
        <v>30</v>
      </c>
      <c r="F968" s="3" t="s">
        <v>57</v>
      </c>
      <c r="G968" s="3">
        <v>2016</v>
      </c>
      <c r="H968" s="3" t="str">
        <f>CONCATENATE("64240430518")</f>
        <v>64240430518</v>
      </c>
      <c r="I968" s="3" t="s">
        <v>25</v>
      </c>
      <c r="J968" s="3" t="s">
        <v>26</v>
      </c>
      <c r="K968" s="3" t="str">
        <f t="shared" si="35"/>
        <v/>
      </c>
      <c r="L968" s="3" t="str">
        <f>CONCATENATE("11 11.1 4b")</f>
        <v>11 11.1 4b</v>
      </c>
      <c r="M968" s="3" t="str">
        <f>CONCATENATE("PCCMRA92S19L191D")</f>
        <v>PCCMRA92S19L191D</v>
      </c>
      <c r="N968" s="3" t="s">
        <v>1068</v>
      </c>
      <c r="O968" s="3"/>
      <c r="P968" s="4">
        <v>42783</v>
      </c>
      <c r="Q968" s="3" t="s">
        <v>27</v>
      </c>
      <c r="R968" s="3" t="s">
        <v>28</v>
      </c>
      <c r="S968" s="3" t="s">
        <v>29</v>
      </c>
      <c r="T968" s="5">
        <v>3480.15</v>
      </c>
      <c r="U968" s="5">
        <v>1500.64</v>
      </c>
      <c r="V968" s="5">
        <v>1385.8</v>
      </c>
      <c r="W968" s="3">
        <v>593.71</v>
      </c>
    </row>
    <row r="969" spans="1:23" ht="60.75">
      <c r="A969" s="3" t="s">
        <v>23</v>
      </c>
      <c r="B969" s="3" t="s">
        <v>24</v>
      </c>
      <c r="C969" s="3" t="s">
        <v>35</v>
      </c>
      <c r="D969" s="3" t="s">
        <v>48</v>
      </c>
      <c r="E969" s="3" t="s">
        <v>30</v>
      </c>
      <c r="F969" s="3" t="s">
        <v>91</v>
      </c>
      <c r="G969" s="3">
        <v>2016</v>
      </c>
      <c r="H969" s="3" t="str">
        <f>CONCATENATE("64240316261")</f>
        <v>64240316261</v>
      </c>
      <c r="I969" s="3" t="s">
        <v>25</v>
      </c>
      <c r="J969" s="3" t="s">
        <v>26</v>
      </c>
      <c r="K969" s="3" t="str">
        <f t="shared" si="35"/>
        <v/>
      </c>
      <c r="L969" s="3" t="str">
        <f>CONCATENATE("11 11.2 4b")</f>
        <v>11 11.2 4b</v>
      </c>
      <c r="M969" s="3" t="str">
        <f>CONCATENATE("FBRFST81T23B474X")</f>
        <v>FBRFST81T23B474X</v>
      </c>
      <c r="N969" s="3" t="s">
        <v>1069</v>
      </c>
      <c r="O969" s="3"/>
      <c r="P969" s="4">
        <v>42783</v>
      </c>
      <c r="Q969" s="3" t="s">
        <v>27</v>
      </c>
      <c r="R969" s="3" t="s">
        <v>28</v>
      </c>
      <c r="S969" s="3" t="s">
        <v>29</v>
      </c>
      <c r="T969" s="5">
        <v>5387.91</v>
      </c>
      <c r="U969" s="5">
        <v>2323.27</v>
      </c>
      <c r="V969" s="5">
        <v>2145.4699999999998</v>
      </c>
      <c r="W969" s="3">
        <v>919.17</v>
      </c>
    </row>
    <row r="970" spans="1:23" ht="36.75">
      <c r="A970" s="3" t="s">
        <v>23</v>
      </c>
      <c r="B970" s="3" t="s">
        <v>24</v>
      </c>
      <c r="C970" s="3" t="s">
        <v>35</v>
      </c>
      <c r="D970" s="3" t="s">
        <v>39</v>
      </c>
      <c r="E970" s="3" t="s">
        <v>34</v>
      </c>
      <c r="F970" s="3" t="s">
        <v>170</v>
      </c>
      <c r="G970" s="3">
        <v>2016</v>
      </c>
      <c r="H970" s="3" t="str">
        <f>CONCATENATE("64240606281")</f>
        <v>64240606281</v>
      </c>
      <c r="I970" s="3" t="s">
        <v>25</v>
      </c>
      <c r="J970" s="3" t="s">
        <v>26</v>
      </c>
      <c r="K970" s="3" t="str">
        <f t="shared" si="35"/>
        <v/>
      </c>
      <c r="L970" s="3" t="str">
        <f>CONCATENATE("11 11.2 4b")</f>
        <v>11 11.2 4b</v>
      </c>
      <c r="M970" s="3" t="str">
        <f>CONCATENATE("02183890421")</f>
        <v>02183890421</v>
      </c>
      <c r="N970" s="3" t="s">
        <v>1070</v>
      </c>
      <c r="O970" s="3"/>
      <c r="P970" s="4">
        <v>42783</v>
      </c>
      <c r="Q970" s="3" t="s">
        <v>27</v>
      </c>
      <c r="R970" s="3" t="s">
        <v>28</v>
      </c>
      <c r="S970" s="3" t="s">
        <v>29</v>
      </c>
      <c r="T970" s="5">
        <v>2620.4299999999998</v>
      </c>
      <c r="U970" s="5">
        <v>1129.93</v>
      </c>
      <c r="V970" s="5">
        <v>1043.46</v>
      </c>
      <c r="W970" s="3">
        <v>447.04</v>
      </c>
    </row>
    <row r="971" spans="1:23" ht="36.75">
      <c r="A971" s="3" t="s">
        <v>23</v>
      </c>
      <c r="B971" s="3" t="s">
        <v>24</v>
      </c>
      <c r="C971" s="3" t="s">
        <v>35</v>
      </c>
      <c r="D971" s="3" t="s">
        <v>39</v>
      </c>
      <c r="E971" s="3" t="s">
        <v>32</v>
      </c>
      <c r="F971" s="3" t="s">
        <v>215</v>
      </c>
      <c r="G971" s="3">
        <v>2016</v>
      </c>
      <c r="H971" s="3" t="str">
        <f>CONCATENATE("64240669487")</f>
        <v>64240669487</v>
      </c>
      <c r="I971" s="3" t="s">
        <v>25</v>
      </c>
      <c r="J971" s="3" t="s">
        <v>26</v>
      </c>
      <c r="K971" s="3" t="str">
        <f t="shared" si="35"/>
        <v/>
      </c>
      <c r="L971" s="3" t="str">
        <f>CONCATENATE("11 11.1 4b")</f>
        <v>11 11.1 4b</v>
      </c>
      <c r="M971" s="3" t="str">
        <f>CONCATENATE("02707770422")</f>
        <v>02707770422</v>
      </c>
      <c r="N971" s="3" t="s">
        <v>1071</v>
      </c>
      <c r="O971" s="3"/>
      <c r="P971" s="4">
        <v>42783</v>
      </c>
      <c r="Q971" s="3" t="s">
        <v>27</v>
      </c>
      <c r="R971" s="3" t="s">
        <v>28</v>
      </c>
      <c r="S971" s="3" t="s">
        <v>29</v>
      </c>
      <c r="T971" s="5">
        <v>3733.6</v>
      </c>
      <c r="U971" s="5">
        <v>1609.93</v>
      </c>
      <c r="V971" s="5">
        <v>1486.72</v>
      </c>
      <c r="W971" s="3">
        <v>636.95000000000005</v>
      </c>
    </row>
    <row r="972" spans="1:23" ht="60.75">
      <c r="A972" s="3" t="s">
        <v>23</v>
      </c>
      <c r="B972" s="3" t="s">
        <v>24</v>
      </c>
      <c r="C972" s="3" t="s">
        <v>35</v>
      </c>
      <c r="D972" s="3" t="s">
        <v>43</v>
      </c>
      <c r="E972" s="3" t="s">
        <v>30</v>
      </c>
      <c r="F972" s="3" t="s">
        <v>131</v>
      </c>
      <c r="G972" s="3">
        <v>2016</v>
      </c>
      <c r="H972" s="3" t="str">
        <f>CONCATENATE("64240773024")</f>
        <v>64240773024</v>
      </c>
      <c r="I972" s="3" t="s">
        <v>25</v>
      </c>
      <c r="J972" s="3" t="s">
        <v>26</v>
      </c>
      <c r="K972" s="3" t="str">
        <f t="shared" si="35"/>
        <v/>
      </c>
      <c r="L972" s="3" t="str">
        <f>CONCATENATE("11 11.2 4b")</f>
        <v>11 11.2 4b</v>
      </c>
      <c r="M972" s="3" t="str">
        <f>CONCATENATE("GRLGNN83E25L500Q")</f>
        <v>GRLGNN83E25L500Q</v>
      </c>
      <c r="N972" s="3" t="s">
        <v>1072</v>
      </c>
      <c r="O972" s="3"/>
      <c r="P972" s="4">
        <v>42783</v>
      </c>
      <c r="Q972" s="3" t="s">
        <v>27</v>
      </c>
      <c r="R972" s="3" t="s">
        <v>28</v>
      </c>
      <c r="S972" s="3" t="s">
        <v>29</v>
      </c>
      <c r="T972" s="5">
        <v>12118.07</v>
      </c>
      <c r="U972" s="5">
        <v>5225.3100000000004</v>
      </c>
      <c r="V972" s="5">
        <v>4825.42</v>
      </c>
      <c r="W972" s="5">
        <v>2067.34</v>
      </c>
    </row>
    <row r="973" spans="1:23" ht="36.75">
      <c r="A973" s="3" t="s">
        <v>23</v>
      </c>
      <c r="B973" s="3" t="s">
        <v>24</v>
      </c>
      <c r="C973" s="3" t="s">
        <v>35</v>
      </c>
      <c r="D973" s="3" t="s">
        <v>43</v>
      </c>
      <c r="E973" s="3" t="s">
        <v>30</v>
      </c>
      <c r="F973" s="3" t="s">
        <v>109</v>
      </c>
      <c r="G973" s="3">
        <v>2016</v>
      </c>
      <c r="H973" s="3" t="str">
        <f>CONCATENATE("64210762353")</f>
        <v>64210762353</v>
      </c>
      <c r="I973" s="3" t="s">
        <v>25</v>
      </c>
      <c r="J973" s="3" t="s">
        <v>26</v>
      </c>
      <c r="K973" s="3" t="str">
        <f t="shared" si="35"/>
        <v/>
      </c>
      <c r="L973" s="3" t="str">
        <f>CONCATENATE("13 13.1 4a")</f>
        <v>13 13.1 4a</v>
      </c>
      <c r="M973" s="3" t="str">
        <f>CONCATENATE("02180060416")</f>
        <v>02180060416</v>
      </c>
      <c r="N973" s="3" t="s">
        <v>1073</v>
      </c>
      <c r="O973" s="3"/>
      <c r="P973" s="4">
        <v>42783</v>
      </c>
      <c r="Q973" s="3" t="s">
        <v>27</v>
      </c>
      <c r="R973" s="3" t="s">
        <v>28</v>
      </c>
      <c r="S973" s="3" t="s">
        <v>29</v>
      </c>
      <c r="T973" s="5">
        <v>3544.73</v>
      </c>
      <c r="U973" s="5">
        <v>1528.49</v>
      </c>
      <c r="V973" s="5">
        <v>1411.51</v>
      </c>
      <c r="W973" s="3">
        <v>604.73</v>
      </c>
    </row>
    <row r="974" spans="1:23" ht="60.75">
      <c r="A974" s="3" t="s">
        <v>23</v>
      </c>
      <c r="B974" s="3" t="s">
        <v>24</v>
      </c>
      <c r="C974" s="3" t="s">
        <v>35</v>
      </c>
      <c r="D974" s="3" t="s">
        <v>43</v>
      </c>
      <c r="E974" s="3" t="s">
        <v>34</v>
      </c>
      <c r="F974" s="3" t="s">
        <v>146</v>
      </c>
      <c r="G974" s="3">
        <v>2016</v>
      </c>
      <c r="H974" s="3" t="str">
        <f>CONCATENATE("64210347106")</f>
        <v>64210347106</v>
      </c>
      <c r="I974" s="3" t="s">
        <v>25</v>
      </c>
      <c r="J974" s="3" t="s">
        <v>26</v>
      </c>
      <c r="K974" s="3" t="str">
        <f t="shared" si="35"/>
        <v/>
      </c>
      <c r="L974" s="3" t="str">
        <f>CONCATENATE("13 13.1 4a")</f>
        <v>13 13.1 4a</v>
      </c>
      <c r="M974" s="3" t="str">
        <f>CONCATENATE("DNTGCR33S05A944B")</f>
        <v>DNTGCR33S05A944B</v>
      </c>
      <c r="N974" s="3" t="s">
        <v>1074</v>
      </c>
      <c r="O974" s="3"/>
      <c r="P974" s="4">
        <v>42783</v>
      </c>
      <c r="Q974" s="3" t="s">
        <v>27</v>
      </c>
      <c r="R974" s="3" t="s">
        <v>28</v>
      </c>
      <c r="S974" s="3" t="s">
        <v>29</v>
      </c>
      <c r="T974" s="5">
        <v>2509.96</v>
      </c>
      <c r="U974" s="5">
        <v>1082.29</v>
      </c>
      <c r="V974" s="3">
        <v>999.47</v>
      </c>
      <c r="W974" s="3">
        <v>428.2</v>
      </c>
    </row>
    <row r="975" spans="1:23" ht="72.75">
      <c r="A975" s="3" t="s">
        <v>23</v>
      </c>
      <c r="B975" s="3" t="s">
        <v>24</v>
      </c>
      <c r="C975" s="3" t="s">
        <v>35</v>
      </c>
      <c r="D975" s="3" t="s">
        <v>43</v>
      </c>
      <c r="E975" s="3" t="s">
        <v>32</v>
      </c>
      <c r="F975" s="3" t="s">
        <v>148</v>
      </c>
      <c r="G975" s="3">
        <v>2016</v>
      </c>
      <c r="H975" s="3" t="str">
        <f>CONCATENATE("64240582201")</f>
        <v>64240582201</v>
      </c>
      <c r="I975" s="3" t="s">
        <v>25</v>
      </c>
      <c r="J975" s="3" t="s">
        <v>26</v>
      </c>
      <c r="K975" s="3" t="str">
        <f t="shared" si="35"/>
        <v/>
      </c>
      <c r="L975" s="3" t="str">
        <f>CONCATENATE("11 11.2 4b")</f>
        <v>11 11.2 4b</v>
      </c>
      <c r="M975" s="3" t="str">
        <f>CONCATENATE("NRDMGR77M54G479F")</f>
        <v>NRDMGR77M54G479F</v>
      </c>
      <c r="N975" s="3" t="s">
        <v>1075</v>
      </c>
      <c r="O975" s="3"/>
      <c r="P975" s="4">
        <v>42783</v>
      </c>
      <c r="Q975" s="3" t="s">
        <v>27</v>
      </c>
      <c r="R975" s="3" t="s">
        <v>28</v>
      </c>
      <c r="S975" s="3" t="s">
        <v>29</v>
      </c>
      <c r="T975" s="5">
        <v>11639.76</v>
      </c>
      <c r="U975" s="5">
        <v>5019.0600000000004</v>
      </c>
      <c r="V975" s="5">
        <v>4634.95</v>
      </c>
      <c r="W975" s="5">
        <v>1985.75</v>
      </c>
    </row>
    <row r="976" spans="1:23" ht="60.75">
      <c r="A976" s="3" t="s">
        <v>23</v>
      </c>
      <c r="B976" s="3" t="s">
        <v>24</v>
      </c>
      <c r="C976" s="3" t="s">
        <v>35</v>
      </c>
      <c r="D976" s="3" t="s">
        <v>43</v>
      </c>
      <c r="E976" s="3" t="s">
        <v>49</v>
      </c>
      <c r="F976" s="3" t="s">
        <v>276</v>
      </c>
      <c r="G976" s="3">
        <v>2016</v>
      </c>
      <c r="H976" s="3" t="str">
        <f>CONCATENATE("64240322939")</f>
        <v>64240322939</v>
      </c>
      <c r="I976" s="3" t="s">
        <v>25</v>
      </c>
      <c r="J976" s="3" t="s">
        <v>26</v>
      </c>
      <c r="K976" s="3" t="str">
        <f t="shared" si="35"/>
        <v/>
      </c>
      <c r="L976" s="3" t="str">
        <f>CONCATENATE("11 11.1 4b")</f>
        <v>11 11.1 4b</v>
      </c>
      <c r="M976" s="3" t="str">
        <f>CONCATENATE("LRDSNN70T70H294S")</f>
        <v>LRDSNN70T70H294S</v>
      </c>
      <c r="N976" s="3" t="s">
        <v>1076</v>
      </c>
      <c r="O976" s="3"/>
      <c r="P976" s="4">
        <v>42783</v>
      </c>
      <c r="Q976" s="3" t="s">
        <v>27</v>
      </c>
      <c r="R976" s="3" t="s">
        <v>28</v>
      </c>
      <c r="S976" s="3" t="s">
        <v>29</v>
      </c>
      <c r="T976" s="5">
        <v>1273.6400000000001</v>
      </c>
      <c r="U976" s="3">
        <v>549.19000000000005</v>
      </c>
      <c r="V976" s="3">
        <v>507.16</v>
      </c>
      <c r="W976" s="3">
        <v>217.29</v>
      </c>
    </row>
    <row r="977" spans="1:23" ht="60.75">
      <c r="A977" s="3" t="s">
        <v>23</v>
      </c>
      <c r="B977" s="3" t="s">
        <v>24</v>
      </c>
      <c r="C977" s="3" t="s">
        <v>35</v>
      </c>
      <c r="D977" s="3" t="s">
        <v>36</v>
      </c>
      <c r="E977" s="3" t="s">
        <v>30</v>
      </c>
      <c r="F977" s="3" t="s">
        <v>37</v>
      </c>
      <c r="G977" s="3">
        <v>2016</v>
      </c>
      <c r="H977" s="3" t="str">
        <f>CONCATENATE("64240630877")</f>
        <v>64240630877</v>
      </c>
      <c r="I977" s="3" t="s">
        <v>25</v>
      </c>
      <c r="J977" s="3" t="s">
        <v>26</v>
      </c>
      <c r="K977" s="3" t="str">
        <f t="shared" si="35"/>
        <v/>
      </c>
      <c r="L977" s="3" t="str">
        <f>CONCATENATE("11 11.1 4b")</f>
        <v>11 11.1 4b</v>
      </c>
      <c r="M977" s="3" t="str">
        <f>CONCATENATE("PSTDNC60R11F415I")</f>
        <v>PSTDNC60R11F415I</v>
      </c>
      <c r="N977" s="3" t="s">
        <v>1077</v>
      </c>
      <c r="O977" s="3"/>
      <c r="P977" s="4">
        <v>42783</v>
      </c>
      <c r="Q977" s="3" t="s">
        <v>27</v>
      </c>
      <c r="R977" s="3" t="s">
        <v>28</v>
      </c>
      <c r="S977" s="3" t="s">
        <v>29</v>
      </c>
      <c r="T977" s="3">
        <v>878.47</v>
      </c>
      <c r="U977" s="3">
        <v>378.8</v>
      </c>
      <c r="V977" s="3">
        <v>349.81</v>
      </c>
      <c r="W977" s="3">
        <v>149.86000000000001</v>
      </c>
    </row>
    <row r="978" spans="1:23" ht="72.75">
      <c r="A978" s="3" t="s">
        <v>23</v>
      </c>
      <c r="B978" s="3" t="s">
        <v>24</v>
      </c>
      <c r="C978" s="3" t="s">
        <v>35</v>
      </c>
      <c r="D978" s="3" t="s">
        <v>36</v>
      </c>
      <c r="E978" s="3" t="s">
        <v>30</v>
      </c>
      <c r="F978" s="3" t="s">
        <v>37</v>
      </c>
      <c r="G978" s="3">
        <v>2016</v>
      </c>
      <c r="H978" s="3" t="str">
        <f>CONCATENATE("64240603015")</f>
        <v>64240603015</v>
      </c>
      <c r="I978" s="3" t="s">
        <v>31</v>
      </c>
      <c r="J978" s="3" t="s">
        <v>26</v>
      </c>
      <c r="K978" s="3" t="str">
        <f t="shared" si="35"/>
        <v/>
      </c>
      <c r="L978" s="3" t="str">
        <f>CONCATENATE("10 10.1 4b")</f>
        <v>10 10.1 4b</v>
      </c>
      <c r="M978" s="3" t="str">
        <f>CONCATENATE("MCCRRT80B22D542Q")</f>
        <v>MCCRRT80B22D542Q</v>
      </c>
      <c r="N978" s="3" t="s">
        <v>1078</v>
      </c>
      <c r="O978" s="3"/>
      <c r="P978" s="4">
        <v>42783</v>
      </c>
      <c r="Q978" s="3" t="s">
        <v>27</v>
      </c>
      <c r="R978" s="3" t="s">
        <v>28</v>
      </c>
      <c r="S978" s="3" t="s">
        <v>29</v>
      </c>
      <c r="T978" s="5">
        <v>1467.26</v>
      </c>
      <c r="U978" s="3">
        <v>632.67999999999995</v>
      </c>
      <c r="V978" s="3">
        <v>584.26</v>
      </c>
      <c r="W978" s="3">
        <v>250.32</v>
      </c>
    </row>
    <row r="979" spans="1:23" ht="60.75">
      <c r="A979" s="3" t="s">
        <v>23</v>
      </c>
      <c r="B979" s="3" t="s">
        <v>24</v>
      </c>
      <c r="C979" s="3" t="s">
        <v>35</v>
      </c>
      <c r="D979" s="3" t="s">
        <v>43</v>
      </c>
      <c r="E979" s="3" t="s">
        <v>30</v>
      </c>
      <c r="F979" s="3" t="s">
        <v>113</v>
      </c>
      <c r="G979" s="3">
        <v>2016</v>
      </c>
      <c r="H979" s="3" t="str">
        <f>CONCATENATE("64211010372")</f>
        <v>64211010372</v>
      </c>
      <c r="I979" s="3" t="s">
        <v>25</v>
      </c>
      <c r="J979" s="3" t="s">
        <v>26</v>
      </c>
      <c r="K979" s="3" t="str">
        <f t="shared" si="35"/>
        <v/>
      </c>
      <c r="L979" s="3" t="str">
        <f>CONCATENATE("13 13.1 4a")</f>
        <v>13 13.1 4a</v>
      </c>
      <c r="M979" s="3" t="str">
        <f>CONCATENATE("MRTPTR51C16B352S")</f>
        <v>MRTPTR51C16B352S</v>
      </c>
      <c r="N979" s="3" t="s">
        <v>1079</v>
      </c>
      <c r="O979" s="3"/>
      <c r="P979" s="4">
        <v>42783</v>
      </c>
      <c r="Q979" s="3" t="s">
        <v>27</v>
      </c>
      <c r="R979" s="3" t="s">
        <v>28</v>
      </c>
      <c r="S979" s="3" t="s">
        <v>29</v>
      </c>
      <c r="T979" s="5">
        <v>4276.5</v>
      </c>
      <c r="U979" s="5">
        <v>1844.03</v>
      </c>
      <c r="V979" s="5">
        <v>1702.9</v>
      </c>
      <c r="W979" s="3">
        <v>729.57</v>
      </c>
    </row>
    <row r="980" spans="1:23" ht="60.75">
      <c r="A980" s="3" t="s">
        <v>23</v>
      </c>
      <c r="B980" s="3" t="s">
        <v>24</v>
      </c>
      <c r="C980" s="3" t="s">
        <v>35</v>
      </c>
      <c r="D980" s="3" t="s">
        <v>43</v>
      </c>
      <c r="E980" s="3" t="s">
        <v>34</v>
      </c>
      <c r="F980" s="3" t="s">
        <v>146</v>
      </c>
      <c r="G980" s="3">
        <v>2016</v>
      </c>
      <c r="H980" s="3" t="str">
        <f>CONCATENATE("64240337226")</f>
        <v>64240337226</v>
      </c>
      <c r="I980" s="3" t="s">
        <v>25</v>
      </c>
      <c r="J980" s="3" t="s">
        <v>26</v>
      </c>
      <c r="K980" s="3" t="str">
        <f t="shared" si="35"/>
        <v/>
      </c>
      <c r="L980" s="3" t="str">
        <f>CONCATENATE("10 10.1 4a")</f>
        <v>10 10.1 4a</v>
      </c>
      <c r="M980" s="3" t="str">
        <f>CONCATENATE("FLPRNG33H16D809A")</f>
        <v>FLPRNG33H16D809A</v>
      </c>
      <c r="N980" s="3" t="s">
        <v>1080</v>
      </c>
      <c r="O980" s="3"/>
      <c r="P980" s="4">
        <v>42783</v>
      </c>
      <c r="Q980" s="3" t="s">
        <v>27</v>
      </c>
      <c r="R980" s="3" t="s">
        <v>28</v>
      </c>
      <c r="S980" s="3" t="s">
        <v>29</v>
      </c>
      <c r="T980" s="5">
        <v>17615.86</v>
      </c>
      <c r="U980" s="5">
        <v>7595.96</v>
      </c>
      <c r="V980" s="5">
        <v>7014.64</v>
      </c>
      <c r="W980" s="5">
        <v>3005.26</v>
      </c>
    </row>
    <row r="981" spans="1:23" ht="60.75">
      <c r="A981" s="3" t="s">
        <v>23</v>
      </c>
      <c r="B981" s="3" t="s">
        <v>24</v>
      </c>
      <c r="C981" s="3" t="s">
        <v>35</v>
      </c>
      <c r="D981" s="3" t="s">
        <v>39</v>
      </c>
      <c r="E981" s="3" t="s">
        <v>30</v>
      </c>
      <c r="F981" s="3" t="s">
        <v>72</v>
      </c>
      <c r="G981" s="3">
        <v>2016</v>
      </c>
      <c r="H981" s="3" t="str">
        <f>CONCATENATE("64240653804")</f>
        <v>64240653804</v>
      </c>
      <c r="I981" s="3" t="s">
        <v>25</v>
      </c>
      <c r="J981" s="3" t="s">
        <v>26</v>
      </c>
      <c r="K981" s="3" t="str">
        <f t="shared" si="35"/>
        <v/>
      </c>
      <c r="L981" s="3" t="str">
        <f>CONCATENATE("11 11.1 4b")</f>
        <v>11 11.1 4b</v>
      </c>
      <c r="M981" s="3" t="str">
        <f>CONCATENATE("DDSFNC78M14E690B")</f>
        <v>DDSFNC78M14E690B</v>
      </c>
      <c r="N981" s="3" t="s">
        <v>1081</v>
      </c>
      <c r="O981" s="3"/>
      <c r="P981" s="4">
        <v>42783</v>
      </c>
      <c r="Q981" s="3" t="s">
        <v>27</v>
      </c>
      <c r="R981" s="3" t="s">
        <v>28</v>
      </c>
      <c r="S981" s="3" t="s">
        <v>29</v>
      </c>
      <c r="T981" s="5">
        <v>1949.89</v>
      </c>
      <c r="U981" s="3">
        <v>840.79</v>
      </c>
      <c r="V981" s="3">
        <v>776.45</v>
      </c>
      <c r="W981" s="3">
        <v>332.65</v>
      </c>
    </row>
    <row r="982" spans="1:23" ht="60.75">
      <c r="A982" s="3" t="s">
        <v>23</v>
      </c>
      <c r="B982" s="3" t="s">
        <v>24</v>
      </c>
      <c r="C982" s="3" t="s">
        <v>35</v>
      </c>
      <c r="D982" s="3" t="s">
        <v>36</v>
      </c>
      <c r="E982" s="3" t="s">
        <v>42</v>
      </c>
      <c r="F982" s="3" t="s">
        <v>42</v>
      </c>
      <c r="G982" s="3">
        <v>2016</v>
      </c>
      <c r="H982" s="3" t="str">
        <f>CONCATENATE("64240252698")</f>
        <v>64240252698</v>
      </c>
      <c r="I982" s="3" t="s">
        <v>25</v>
      </c>
      <c r="J982" s="3" t="s">
        <v>26</v>
      </c>
      <c r="K982" s="3" t="str">
        <f t="shared" si="35"/>
        <v/>
      </c>
      <c r="L982" s="3" t="str">
        <f>CONCATENATE("11 11.2 4b")</f>
        <v>11 11.2 4b</v>
      </c>
      <c r="M982" s="3" t="str">
        <f>CONCATENATE("CRRRNT69A03G005I")</f>
        <v>CRRRNT69A03G005I</v>
      </c>
      <c r="N982" s="3" t="s">
        <v>1082</v>
      </c>
      <c r="O982" s="3"/>
      <c r="P982" s="4">
        <v>42783</v>
      </c>
      <c r="Q982" s="3" t="s">
        <v>27</v>
      </c>
      <c r="R982" s="3" t="s">
        <v>28</v>
      </c>
      <c r="S982" s="3" t="s">
        <v>29</v>
      </c>
      <c r="T982" s="5">
        <v>1410.46</v>
      </c>
      <c r="U982" s="3">
        <v>608.19000000000005</v>
      </c>
      <c r="V982" s="3">
        <v>561.65</v>
      </c>
      <c r="W982" s="3">
        <v>240.62</v>
      </c>
    </row>
    <row r="983" spans="1:23" ht="72.75">
      <c r="A983" s="3" t="s">
        <v>23</v>
      </c>
      <c r="B983" s="3" t="s">
        <v>24</v>
      </c>
      <c r="C983" s="3" t="s">
        <v>35</v>
      </c>
      <c r="D983" s="3" t="s">
        <v>36</v>
      </c>
      <c r="E983" s="3" t="s">
        <v>32</v>
      </c>
      <c r="F983" s="3" t="s">
        <v>65</v>
      </c>
      <c r="G983" s="3">
        <v>2016</v>
      </c>
      <c r="H983" s="3" t="str">
        <f>CONCATENATE("64210623936")</f>
        <v>64210623936</v>
      </c>
      <c r="I983" s="3" t="s">
        <v>25</v>
      </c>
      <c r="J983" s="3" t="s">
        <v>26</v>
      </c>
      <c r="K983" s="3" t="str">
        <f t="shared" si="35"/>
        <v/>
      </c>
      <c r="L983" s="3" t="str">
        <f>CONCATENATE("13 13.1 4a")</f>
        <v>13 13.1 4a</v>
      </c>
      <c r="M983" s="3" t="str">
        <f>CONCATENATE("PCCGNN68D07A044G")</f>
        <v>PCCGNN68D07A044G</v>
      </c>
      <c r="N983" s="3" t="s">
        <v>1083</v>
      </c>
      <c r="O983" s="3"/>
      <c r="P983" s="4">
        <v>42783</v>
      </c>
      <c r="Q983" s="3" t="s">
        <v>27</v>
      </c>
      <c r="R983" s="3" t="s">
        <v>28</v>
      </c>
      <c r="S983" s="3" t="s">
        <v>29</v>
      </c>
      <c r="T983" s="3">
        <v>478.6</v>
      </c>
      <c r="U983" s="3">
        <v>206.37</v>
      </c>
      <c r="V983" s="3">
        <v>190.58</v>
      </c>
      <c r="W983" s="3">
        <v>81.650000000000006</v>
      </c>
    </row>
    <row r="984" spans="1:23" ht="36.75">
      <c r="A984" s="3" t="s">
        <v>23</v>
      </c>
      <c r="B984" s="3" t="s">
        <v>24</v>
      </c>
      <c r="C984" s="3" t="s">
        <v>35</v>
      </c>
      <c r="D984" s="3" t="s">
        <v>48</v>
      </c>
      <c r="E984" s="3" t="s">
        <v>30</v>
      </c>
      <c r="F984" s="3" t="s">
        <v>91</v>
      </c>
      <c r="G984" s="3">
        <v>2016</v>
      </c>
      <c r="H984" s="3" t="str">
        <f>CONCATENATE("64240319133")</f>
        <v>64240319133</v>
      </c>
      <c r="I984" s="3" t="s">
        <v>25</v>
      </c>
      <c r="J984" s="3" t="s">
        <v>26</v>
      </c>
      <c r="K984" s="3" t="str">
        <f t="shared" si="35"/>
        <v/>
      </c>
      <c r="L984" s="3" t="str">
        <f>CONCATENATE("11 11.1 4b")</f>
        <v>11 11.1 4b</v>
      </c>
      <c r="M984" s="3" t="str">
        <f>CONCATENATE("01883030437")</f>
        <v>01883030437</v>
      </c>
      <c r="N984" s="3" t="s">
        <v>1084</v>
      </c>
      <c r="O984" s="3"/>
      <c r="P984" s="4">
        <v>42783</v>
      </c>
      <c r="Q984" s="3" t="s">
        <v>27</v>
      </c>
      <c r="R984" s="3" t="s">
        <v>28</v>
      </c>
      <c r="S984" s="3" t="s">
        <v>29</v>
      </c>
      <c r="T984" s="5">
        <v>12241.32</v>
      </c>
      <c r="U984" s="5">
        <v>5278.46</v>
      </c>
      <c r="V984" s="5">
        <v>4874.49</v>
      </c>
      <c r="W984" s="5">
        <v>2088.37</v>
      </c>
    </row>
    <row r="985" spans="1:23" ht="60.75">
      <c r="A985" s="3" t="s">
        <v>23</v>
      </c>
      <c r="B985" s="3" t="s">
        <v>24</v>
      </c>
      <c r="C985" s="3" t="s">
        <v>35</v>
      </c>
      <c r="D985" s="3" t="s">
        <v>43</v>
      </c>
      <c r="E985" s="3" t="s">
        <v>100</v>
      </c>
      <c r="F985" s="3" t="s">
        <v>101</v>
      </c>
      <c r="G985" s="3">
        <v>2016</v>
      </c>
      <c r="H985" s="3" t="str">
        <f>CONCATENATE("64240523171")</f>
        <v>64240523171</v>
      </c>
      <c r="I985" s="3" t="s">
        <v>25</v>
      </c>
      <c r="J985" s="3" t="s">
        <v>26</v>
      </c>
      <c r="K985" s="3" t="str">
        <f t="shared" si="35"/>
        <v/>
      </c>
      <c r="L985" s="3" t="str">
        <f>CONCATENATE("11 11.2 4b")</f>
        <v>11 11.2 4b</v>
      </c>
      <c r="M985" s="3" t="str">
        <f>CONCATENATE("GNTCHR78M41I459M")</f>
        <v>GNTCHR78M41I459M</v>
      </c>
      <c r="N985" s="3" t="s">
        <v>1085</v>
      </c>
      <c r="O985" s="3"/>
      <c r="P985" s="4">
        <v>42783</v>
      </c>
      <c r="Q985" s="3" t="s">
        <v>27</v>
      </c>
      <c r="R985" s="3" t="s">
        <v>28</v>
      </c>
      <c r="S985" s="3" t="s">
        <v>29</v>
      </c>
      <c r="T985" s="5">
        <v>2494.94</v>
      </c>
      <c r="U985" s="5">
        <v>1075.82</v>
      </c>
      <c r="V985" s="3">
        <v>993.49</v>
      </c>
      <c r="W985" s="3">
        <v>425.63</v>
      </c>
    </row>
    <row r="986" spans="1:23" ht="60.75">
      <c r="A986" s="3" t="s">
        <v>23</v>
      </c>
      <c r="B986" s="3" t="s">
        <v>24</v>
      </c>
      <c r="C986" s="3" t="s">
        <v>35</v>
      </c>
      <c r="D986" s="3" t="s">
        <v>48</v>
      </c>
      <c r="E986" s="3" t="s">
        <v>32</v>
      </c>
      <c r="F986" s="3" t="s">
        <v>69</v>
      </c>
      <c r="G986" s="3">
        <v>2016</v>
      </c>
      <c r="H986" s="3" t="str">
        <f>CONCATENATE("64210818437")</f>
        <v>64210818437</v>
      </c>
      <c r="I986" s="3" t="s">
        <v>25</v>
      </c>
      <c r="J986" s="3" t="s">
        <v>26</v>
      </c>
      <c r="K986" s="3" t="str">
        <f t="shared" si="35"/>
        <v/>
      </c>
      <c r="L986" s="3" t="str">
        <f>CONCATENATE("13 13.1 4a")</f>
        <v>13 13.1 4a</v>
      </c>
      <c r="M986" s="3" t="str">
        <f>CONCATENATE("MCARLL58E54I661W")</f>
        <v>MCARLL58E54I661W</v>
      </c>
      <c r="N986" s="3" t="s">
        <v>159</v>
      </c>
      <c r="O986" s="3"/>
      <c r="P986" s="4">
        <v>42783</v>
      </c>
      <c r="Q986" s="3" t="s">
        <v>27</v>
      </c>
      <c r="R986" s="3" t="s">
        <v>28</v>
      </c>
      <c r="S986" s="3" t="s">
        <v>29</v>
      </c>
      <c r="T986" s="5">
        <v>4590</v>
      </c>
      <c r="U986" s="5">
        <v>1979.21</v>
      </c>
      <c r="V986" s="5">
        <v>1827.74</v>
      </c>
      <c r="W986" s="3">
        <v>783.05</v>
      </c>
    </row>
    <row r="987" spans="1:23" ht="60.75">
      <c r="A987" s="3" t="s">
        <v>23</v>
      </c>
      <c r="B987" s="3" t="s">
        <v>24</v>
      </c>
      <c r="C987" s="3" t="s">
        <v>35</v>
      </c>
      <c r="D987" s="3" t="s">
        <v>48</v>
      </c>
      <c r="E987" s="3" t="s">
        <v>49</v>
      </c>
      <c r="F987" s="3" t="s">
        <v>80</v>
      </c>
      <c r="G987" s="3">
        <v>2016</v>
      </c>
      <c r="H987" s="3" t="str">
        <f>CONCATENATE("64240261699")</f>
        <v>64240261699</v>
      </c>
      <c r="I987" s="3" t="s">
        <v>25</v>
      </c>
      <c r="J987" s="3" t="s">
        <v>26</v>
      </c>
      <c r="K987" s="3" t="str">
        <f t="shared" si="35"/>
        <v/>
      </c>
      <c r="L987" s="3" t="str">
        <f>CONCATENATE("11 11.2 4b")</f>
        <v>11 11.2 4b</v>
      </c>
      <c r="M987" s="3" t="str">
        <f>CONCATENATE("SCRMRA30B56C203F")</f>
        <v>SCRMRA30B56C203F</v>
      </c>
      <c r="N987" s="3" t="s">
        <v>684</v>
      </c>
      <c r="O987" s="3"/>
      <c r="P987" s="4">
        <v>42783</v>
      </c>
      <c r="Q987" s="3" t="s">
        <v>27</v>
      </c>
      <c r="R987" s="3" t="s">
        <v>28</v>
      </c>
      <c r="S987" s="3" t="s">
        <v>29</v>
      </c>
      <c r="T987" s="5">
        <v>34946.720000000001</v>
      </c>
      <c r="U987" s="5">
        <v>15069.03</v>
      </c>
      <c r="V987" s="5">
        <v>13915.78</v>
      </c>
      <c r="W987" s="5">
        <v>5961.91</v>
      </c>
    </row>
    <row r="988" spans="1:23" ht="60.75">
      <c r="A988" s="3" t="s">
        <v>23</v>
      </c>
      <c r="B988" s="3" t="s">
        <v>24</v>
      </c>
      <c r="C988" s="3" t="s">
        <v>35</v>
      </c>
      <c r="D988" s="3" t="s">
        <v>36</v>
      </c>
      <c r="E988" s="3" t="s">
        <v>30</v>
      </c>
      <c r="F988" s="3" t="s">
        <v>37</v>
      </c>
      <c r="G988" s="3">
        <v>2016</v>
      </c>
      <c r="H988" s="3" t="str">
        <f>CONCATENATE("64210666521")</f>
        <v>64210666521</v>
      </c>
      <c r="I988" s="3" t="s">
        <v>25</v>
      </c>
      <c r="J988" s="3" t="s">
        <v>26</v>
      </c>
      <c r="K988" s="3" t="str">
        <f t="shared" si="35"/>
        <v/>
      </c>
      <c r="L988" s="3" t="str">
        <f>CONCATENATE("13 13.1 4a")</f>
        <v>13 13.1 4a</v>
      </c>
      <c r="M988" s="3" t="str">
        <f>CONCATENATE("FNANNL66L67H588K")</f>
        <v>FNANNL66L67H588K</v>
      </c>
      <c r="N988" s="3" t="s">
        <v>1086</v>
      </c>
      <c r="O988" s="3"/>
      <c r="P988" s="4">
        <v>42783</v>
      </c>
      <c r="Q988" s="3" t="s">
        <v>27</v>
      </c>
      <c r="R988" s="3" t="s">
        <v>28</v>
      </c>
      <c r="S988" s="3" t="s">
        <v>29</v>
      </c>
      <c r="T988" s="3">
        <v>339.72</v>
      </c>
      <c r="U988" s="3">
        <v>146.49</v>
      </c>
      <c r="V988" s="3">
        <v>135.28</v>
      </c>
      <c r="W988" s="3">
        <v>57.95</v>
      </c>
    </row>
    <row r="989" spans="1:23" ht="60.75">
      <c r="A989" s="3" t="s">
        <v>23</v>
      </c>
      <c r="B989" s="3" t="s">
        <v>24</v>
      </c>
      <c r="C989" s="3" t="s">
        <v>35</v>
      </c>
      <c r="D989" s="3" t="s">
        <v>43</v>
      </c>
      <c r="E989" s="3" t="s">
        <v>30</v>
      </c>
      <c r="F989" s="3" t="s">
        <v>199</v>
      </c>
      <c r="G989" s="3">
        <v>2016</v>
      </c>
      <c r="H989" s="3" t="str">
        <f>CONCATENATE("64240876892")</f>
        <v>64240876892</v>
      </c>
      <c r="I989" s="3" t="s">
        <v>25</v>
      </c>
      <c r="J989" s="3" t="s">
        <v>26</v>
      </c>
      <c r="K989" s="3" t="str">
        <f t="shared" si="35"/>
        <v/>
      </c>
      <c r="L989" s="3" t="str">
        <f>CONCATENATE("10 10.1 4b")</f>
        <v>10 10.1 4b</v>
      </c>
      <c r="M989" s="3" t="str">
        <f>CONCATENATE("FLCFRZ75D05G479W")</f>
        <v>FLCFRZ75D05G479W</v>
      </c>
      <c r="N989" s="3" t="s">
        <v>1087</v>
      </c>
      <c r="O989" s="3"/>
      <c r="P989" s="4">
        <v>42783</v>
      </c>
      <c r="Q989" s="3" t="s">
        <v>27</v>
      </c>
      <c r="R989" s="3" t="s">
        <v>28</v>
      </c>
      <c r="S989" s="3" t="s">
        <v>29</v>
      </c>
      <c r="T989" s="5">
        <v>2547.25</v>
      </c>
      <c r="U989" s="5">
        <v>1098.3699999999999</v>
      </c>
      <c r="V989" s="5">
        <v>1014.31</v>
      </c>
      <c r="W989" s="3">
        <v>434.57</v>
      </c>
    </row>
    <row r="990" spans="1:23" ht="60.75">
      <c r="A990" s="3" t="s">
        <v>23</v>
      </c>
      <c r="B990" s="3" t="s">
        <v>24</v>
      </c>
      <c r="C990" s="3" t="s">
        <v>35</v>
      </c>
      <c r="D990" s="3" t="s">
        <v>36</v>
      </c>
      <c r="E990" s="3" t="s">
        <v>30</v>
      </c>
      <c r="F990" s="3" t="s">
        <v>37</v>
      </c>
      <c r="G990" s="3">
        <v>2016</v>
      </c>
      <c r="H990" s="3" t="str">
        <f>CONCATENATE("64240617148")</f>
        <v>64240617148</v>
      </c>
      <c r="I990" s="3" t="s">
        <v>25</v>
      </c>
      <c r="J990" s="3" t="s">
        <v>26</v>
      </c>
      <c r="K990" s="3" t="str">
        <f t="shared" si="35"/>
        <v/>
      </c>
      <c r="L990" s="3" t="str">
        <f>CONCATENATE("11 11.2 4b")</f>
        <v>11 11.2 4b</v>
      </c>
      <c r="M990" s="3" t="str">
        <f>CONCATENATE("GLLMCL65A61F415J")</f>
        <v>GLLMCL65A61F415J</v>
      </c>
      <c r="N990" s="3" t="s">
        <v>1088</v>
      </c>
      <c r="O990" s="3"/>
      <c r="P990" s="4">
        <v>42783</v>
      </c>
      <c r="Q990" s="3" t="s">
        <v>27</v>
      </c>
      <c r="R990" s="3" t="s">
        <v>28</v>
      </c>
      <c r="S990" s="3" t="s">
        <v>29</v>
      </c>
      <c r="T990" s="5">
        <v>3124.18</v>
      </c>
      <c r="U990" s="5">
        <v>1347.15</v>
      </c>
      <c r="V990" s="5">
        <v>1244.05</v>
      </c>
      <c r="W990" s="3">
        <v>532.98</v>
      </c>
    </row>
    <row r="991" spans="1:23" ht="60.75">
      <c r="A991" s="3" t="s">
        <v>23</v>
      </c>
      <c r="B991" s="3" t="s">
        <v>24</v>
      </c>
      <c r="C991" s="3" t="s">
        <v>35</v>
      </c>
      <c r="D991" s="3" t="s">
        <v>43</v>
      </c>
      <c r="E991" s="3" t="s">
        <v>30</v>
      </c>
      <c r="F991" s="3" t="s">
        <v>76</v>
      </c>
      <c r="G991" s="3">
        <v>2016</v>
      </c>
      <c r="H991" s="3" t="str">
        <f>CONCATENATE("64210123077")</f>
        <v>64210123077</v>
      </c>
      <c r="I991" s="3" t="s">
        <v>25</v>
      </c>
      <c r="J991" s="3" t="s">
        <v>26</v>
      </c>
      <c r="K991" s="3" t="str">
        <f t="shared" si="35"/>
        <v/>
      </c>
      <c r="L991" s="3" t="str">
        <f>CONCATENATE("13 13.1 4a")</f>
        <v>13 13.1 4a</v>
      </c>
      <c r="M991" s="3" t="str">
        <f>CONCATENATE("CPNSNT49T69B816K")</f>
        <v>CPNSNT49T69B816K</v>
      </c>
      <c r="N991" s="3" t="s">
        <v>1089</v>
      </c>
      <c r="O991" s="3"/>
      <c r="P991" s="4">
        <v>42783</v>
      </c>
      <c r="Q991" s="3" t="s">
        <v>27</v>
      </c>
      <c r="R991" s="3" t="s">
        <v>28</v>
      </c>
      <c r="S991" s="3" t="s">
        <v>29</v>
      </c>
      <c r="T991" s="3">
        <v>680.27</v>
      </c>
      <c r="U991" s="3">
        <v>293.33</v>
      </c>
      <c r="V991" s="3">
        <v>270.88</v>
      </c>
      <c r="W991" s="3">
        <v>116.06</v>
      </c>
    </row>
    <row r="992" spans="1:23" ht="60.75">
      <c r="A992" s="3" t="s">
        <v>23</v>
      </c>
      <c r="B992" s="3" t="s">
        <v>24</v>
      </c>
      <c r="C992" s="3" t="s">
        <v>35</v>
      </c>
      <c r="D992" s="3" t="s">
        <v>48</v>
      </c>
      <c r="E992" s="3" t="s">
        <v>32</v>
      </c>
      <c r="F992" s="3" t="s">
        <v>129</v>
      </c>
      <c r="G992" s="3">
        <v>2016</v>
      </c>
      <c r="H992" s="3" t="str">
        <f>CONCATENATE("64240671681")</f>
        <v>64240671681</v>
      </c>
      <c r="I992" s="3" t="s">
        <v>25</v>
      </c>
      <c r="J992" s="3" t="s">
        <v>26</v>
      </c>
      <c r="K992" s="3" t="str">
        <f t="shared" si="35"/>
        <v/>
      </c>
      <c r="L992" s="3" t="str">
        <f>CONCATENATE("11 11.2 4b")</f>
        <v>11 11.2 4b</v>
      </c>
      <c r="M992" s="3" t="str">
        <f>CONCATENATE("SGRCLD62R14F482T")</f>
        <v>SGRCLD62R14F482T</v>
      </c>
      <c r="N992" s="3" t="s">
        <v>1090</v>
      </c>
      <c r="O992" s="3"/>
      <c r="P992" s="4">
        <v>42783</v>
      </c>
      <c r="Q992" s="3" t="s">
        <v>27</v>
      </c>
      <c r="R992" s="3" t="s">
        <v>28</v>
      </c>
      <c r="S992" s="3" t="s">
        <v>29</v>
      </c>
      <c r="T992" s="5">
        <v>1768.73</v>
      </c>
      <c r="U992" s="3">
        <v>762.68</v>
      </c>
      <c r="V992" s="3">
        <v>704.31</v>
      </c>
      <c r="W992" s="3">
        <v>301.74</v>
      </c>
    </row>
    <row r="993" spans="1:23" ht="60.75">
      <c r="A993" s="3" t="s">
        <v>23</v>
      </c>
      <c r="B993" s="3" t="s">
        <v>24</v>
      </c>
      <c r="C993" s="3" t="s">
        <v>35</v>
      </c>
      <c r="D993" s="3" t="s">
        <v>43</v>
      </c>
      <c r="E993" s="3" t="s">
        <v>30</v>
      </c>
      <c r="F993" s="3" t="s">
        <v>131</v>
      </c>
      <c r="G993" s="3">
        <v>2016</v>
      </c>
      <c r="H993" s="3" t="str">
        <f>CONCATENATE("64240808010")</f>
        <v>64240808010</v>
      </c>
      <c r="I993" s="3" t="s">
        <v>25</v>
      </c>
      <c r="J993" s="3" t="s">
        <v>26</v>
      </c>
      <c r="K993" s="3" t="str">
        <f t="shared" si="35"/>
        <v/>
      </c>
      <c r="L993" s="3" t="str">
        <f>CONCATENATE("11 11.2 4b")</f>
        <v>11 11.2 4b</v>
      </c>
      <c r="M993" s="3" t="str">
        <f>CONCATENATE("MRTLNZ73C17D749L")</f>
        <v>MRTLNZ73C17D749L</v>
      </c>
      <c r="N993" s="3" t="s">
        <v>1091</v>
      </c>
      <c r="O993" s="3"/>
      <c r="P993" s="4">
        <v>42783</v>
      </c>
      <c r="Q993" s="3" t="s">
        <v>27</v>
      </c>
      <c r="R993" s="3" t="s">
        <v>28</v>
      </c>
      <c r="S993" s="3" t="s">
        <v>29</v>
      </c>
      <c r="T993" s="5">
        <v>1276.71</v>
      </c>
      <c r="U993" s="3">
        <v>550.52</v>
      </c>
      <c r="V993" s="3">
        <v>508.39</v>
      </c>
      <c r="W993" s="3">
        <v>217.8</v>
      </c>
    </row>
    <row r="994" spans="1:23" ht="60.75">
      <c r="A994" s="3" t="s">
        <v>23</v>
      </c>
      <c r="B994" s="3" t="s">
        <v>24</v>
      </c>
      <c r="C994" s="3" t="s">
        <v>35</v>
      </c>
      <c r="D994" s="3" t="s">
        <v>48</v>
      </c>
      <c r="E994" s="3" t="s">
        <v>30</v>
      </c>
      <c r="F994" s="3" t="s">
        <v>91</v>
      </c>
      <c r="G994" s="3">
        <v>2016</v>
      </c>
      <c r="H994" s="3" t="str">
        <f>CONCATENATE("64240312799")</f>
        <v>64240312799</v>
      </c>
      <c r="I994" s="3" t="s">
        <v>25</v>
      </c>
      <c r="J994" s="3" t="s">
        <v>26</v>
      </c>
      <c r="K994" s="3" t="str">
        <f t="shared" si="35"/>
        <v/>
      </c>
      <c r="L994" s="3" t="str">
        <f>CONCATENATE("11 11.2 4b")</f>
        <v>11 11.2 4b</v>
      </c>
      <c r="M994" s="3" t="str">
        <f>CONCATENATE("BTTLBT55C67C773M")</f>
        <v>BTTLBT55C67C773M</v>
      </c>
      <c r="N994" s="3" t="s">
        <v>1092</v>
      </c>
      <c r="O994" s="3"/>
      <c r="P994" s="4">
        <v>42783</v>
      </c>
      <c r="Q994" s="3" t="s">
        <v>27</v>
      </c>
      <c r="R994" s="3" t="s">
        <v>28</v>
      </c>
      <c r="S994" s="3" t="s">
        <v>29</v>
      </c>
      <c r="T994" s="5">
        <v>4283.84</v>
      </c>
      <c r="U994" s="5">
        <v>1847.19</v>
      </c>
      <c r="V994" s="5">
        <v>1705.83</v>
      </c>
      <c r="W994" s="3">
        <v>730.82</v>
      </c>
    </row>
    <row r="995" spans="1:23" ht="60.75">
      <c r="A995" s="3" t="s">
        <v>23</v>
      </c>
      <c r="B995" s="3" t="s">
        <v>24</v>
      </c>
      <c r="C995" s="3" t="s">
        <v>35</v>
      </c>
      <c r="D995" s="3" t="s">
        <v>39</v>
      </c>
      <c r="E995" s="3" t="s">
        <v>30</v>
      </c>
      <c r="F995" s="3" t="s">
        <v>40</v>
      </c>
      <c r="G995" s="3">
        <v>2016</v>
      </c>
      <c r="H995" s="3" t="str">
        <f>CONCATENATE("64240530523")</f>
        <v>64240530523</v>
      </c>
      <c r="I995" s="3" t="s">
        <v>25</v>
      </c>
      <c r="J995" s="3" t="s">
        <v>26</v>
      </c>
      <c r="K995" s="3" t="str">
        <f t="shared" si="35"/>
        <v/>
      </c>
      <c r="L995" s="3" t="str">
        <f>CONCATENATE("11 11.2 4b")</f>
        <v>11 11.2 4b</v>
      </c>
      <c r="M995" s="3" t="str">
        <f>CONCATENATE("SCRLRT65R15D211H")</f>
        <v>SCRLRT65R15D211H</v>
      </c>
      <c r="N995" s="3" t="s">
        <v>1093</v>
      </c>
      <c r="O995" s="3"/>
      <c r="P995" s="4">
        <v>42783</v>
      </c>
      <c r="Q995" s="3" t="s">
        <v>27</v>
      </c>
      <c r="R995" s="3" t="s">
        <v>28</v>
      </c>
      <c r="S995" s="3" t="s">
        <v>29</v>
      </c>
      <c r="T995" s="3">
        <v>719.99</v>
      </c>
      <c r="U995" s="3">
        <v>310.45999999999998</v>
      </c>
      <c r="V995" s="3">
        <v>286.7</v>
      </c>
      <c r="W995" s="3">
        <v>122.83</v>
      </c>
    </row>
    <row r="996" spans="1:23" ht="60.75">
      <c r="A996" s="3" t="s">
        <v>23</v>
      </c>
      <c r="B996" s="3" t="s">
        <v>24</v>
      </c>
      <c r="C996" s="3" t="s">
        <v>35</v>
      </c>
      <c r="D996" s="3" t="s">
        <v>43</v>
      </c>
      <c r="E996" s="3" t="s">
        <v>30</v>
      </c>
      <c r="F996" s="3" t="s">
        <v>113</v>
      </c>
      <c r="G996" s="3">
        <v>2016</v>
      </c>
      <c r="H996" s="3" t="str">
        <f>CONCATENATE("64210965410")</f>
        <v>64210965410</v>
      </c>
      <c r="I996" s="3" t="s">
        <v>25</v>
      </c>
      <c r="J996" s="3" t="s">
        <v>26</v>
      </c>
      <c r="K996" s="3" t="str">
        <f t="shared" si="35"/>
        <v/>
      </c>
      <c r="L996" s="3" t="str">
        <f>CONCATENATE("13 13.1 4a")</f>
        <v>13 13.1 4a</v>
      </c>
      <c r="M996" s="3" t="str">
        <f>CONCATENATE("LNESFN65P30L498P")</f>
        <v>LNESFN65P30L498P</v>
      </c>
      <c r="N996" s="3" t="s">
        <v>1094</v>
      </c>
      <c r="O996" s="3"/>
      <c r="P996" s="4">
        <v>42783</v>
      </c>
      <c r="Q996" s="3" t="s">
        <v>27</v>
      </c>
      <c r="R996" s="3" t="s">
        <v>28</v>
      </c>
      <c r="S996" s="3" t="s">
        <v>29</v>
      </c>
      <c r="T996" s="5">
        <v>2051.8200000000002</v>
      </c>
      <c r="U996" s="3">
        <v>884.74</v>
      </c>
      <c r="V996" s="3">
        <v>817.03</v>
      </c>
      <c r="W996" s="3">
        <v>350.05</v>
      </c>
    </row>
    <row r="997" spans="1:23" ht="60.75">
      <c r="A997" s="3" t="s">
        <v>23</v>
      </c>
      <c r="B997" s="3" t="s">
        <v>24</v>
      </c>
      <c r="C997" s="3" t="s">
        <v>35</v>
      </c>
      <c r="D997" s="3" t="s">
        <v>36</v>
      </c>
      <c r="E997" s="3" t="s">
        <v>32</v>
      </c>
      <c r="F997" s="3" t="s">
        <v>208</v>
      </c>
      <c r="G997" s="3">
        <v>2016</v>
      </c>
      <c r="H997" s="3" t="str">
        <f>CONCATENATE("64240235776")</f>
        <v>64240235776</v>
      </c>
      <c r="I997" s="3" t="s">
        <v>25</v>
      </c>
      <c r="J997" s="3" t="s">
        <v>26</v>
      </c>
      <c r="K997" s="3" t="str">
        <f t="shared" si="35"/>
        <v/>
      </c>
      <c r="L997" s="3" t="str">
        <f>CONCATENATE("11 11.2 4b")</f>
        <v>11 11.2 4b</v>
      </c>
      <c r="M997" s="3" t="str">
        <f>CONCATENATE("STCRSN62A46F501D")</f>
        <v>STCRSN62A46F501D</v>
      </c>
      <c r="N997" s="3" t="s">
        <v>1095</v>
      </c>
      <c r="O997" s="3"/>
      <c r="P997" s="4">
        <v>42783</v>
      </c>
      <c r="Q997" s="3" t="s">
        <v>27</v>
      </c>
      <c r="R997" s="3" t="s">
        <v>28</v>
      </c>
      <c r="S997" s="3" t="s">
        <v>29</v>
      </c>
      <c r="T997" s="5">
        <v>5457.65</v>
      </c>
      <c r="U997" s="5">
        <v>2353.34</v>
      </c>
      <c r="V997" s="5">
        <v>2173.2399999999998</v>
      </c>
      <c r="W997" s="3">
        <v>931.07</v>
      </c>
    </row>
    <row r="998" spans="1:23" ht="36.75">
      <c r="A998" s="3" t="s">
        <v>23</v>
      </c>
      <c r="B998" s="3" t="s">
        <v>24</v>
      </c>
      <c r="C998" s="3" t="s">
        <v>35</v>
      </c>
      <c r="D998" s="3" t="s">
        <v>39</v>
      </c>
      <c r="E998" s="3" t="s">
        <v>32</v>
      </c>
      <c r="F998" s="3" t="s">
        <v>215</v>
      </c>
      <c r="G998" s="3">
        <v>2016</v>
      </c>
      <c r="H998" s="3" t="str">
        <f>CONCATENATE("64240268553")</f>
        <v>64240268553</v>
      </c>
      <c r="I998" s="3" t="s">
        <v>25</v>
      </c>
      <c r="J998" s="3" t="s">
        <v>26</v>
      </c>
      <c r="K998" s="3" t="str">
        <f t="shared" si="35"/>
        <v/>
      </c>
      <c r="L998" s="3" t="str">
        <f>CONCATENATE("10 10.1 4a")</f>
        <v>10 10.1 4a</v>
      </c>
      <c r="M998" s="3" t="str">
        <f>CONCATENATE("02706580426")</f>
        <v>02706580426</v>
      </c>
      <c r="N998" s="3" t="s">
        <v>725</v>
      </c>
      <c r="O998" s="3"/>
      <c r="P998" s="4">
        <v>42783</v>
      </c>
      <c r="Q998" s="3" t="s">
        <v>27</v>
      </c>
      <c r="R998" s="3" t="s">
        <v>28</v>
      </c>
      <c r="S998" s="3" t="s">
        <v>29</v>
      </c>
      <c r="T998" s="3">
        <v>270</v>
      </c>
      <c r="U998" s="3">
        <v>116.42</v>
      </c>
      <c r="V998" s="3">
        <v>107.51</v>
      </c>
      <c r="W998" s="3">
        <v>46.07</v>
      </c>
    </row>
    <row r="999" spans="1:23" ht="60.75">
      <c r="A999" s="3" t="s">
        <v>23</v>
      </c>
      <c r="B999" s="3" t="s">
        <v>24</v>
      </c>
      <c r="C999" s="3" t="s">
        <v>35</v>
      </c>
      <c r="D999" s="3" t="s">
        <v>39</v>
      </c>
      <c r="E999" s="3" t="s">
        <v>34</v>
      </c>
      <c r="F999" s="3" t="s">
        <v>170</v>
      </c>
      <c r="G999" s="3">
        <v>2016</v>
      </c>
      <c r="H999" s="3" t="str">
        <f>CONCATENATE("64240543633")</f>
        <v>64240543633</v>
      </c>
      <c r="I999" s="3" t="s">
        <v>25</v>
      </c>
      <c r="J999" s="3" t="s">
        <v>26</v>
      </c>
      <c r="K999" s="3" t="str">
        <f t="shared" si="35"/>
        <v/>
      </c>
      <c r="L999" s="3" t="str">
        <f>CONCATENATE("11 11.1 4b")</f>
        <v>11 11.1 4b</v>
      </c>
      <c r="M999" s="3" t="str">
        <f>CONCATENATE("TRBCNZ68T54C615E")</f>
        <v>TRBCNZ68T54C615E</v>
      </c>
      <c r="N999" s="3" t="s">
        <v>1096</v>
      </c>
      <c r="O999" s="3"/>
      <c r="P999" s="4">
        <v>42783</v>
      </c>
      <c r="Q999" s="3" t="s">
        <v>27</v>
      </c>
      <c r="R999" s="3" t="s">
        <v>28</v>
      </c>
      <c r="S999" s="3" t="s">
        <v>29</v>
      </c>
      <c r="T999" s="5">
        <v>10746.32</v>
      </c>
      <c r="U999" s="5">
        <v>4633.8100000000004</v>
      </c>
      <c r="V999" s="5">
        <v>4279.18</v>
      </c>
      <c r="W999" s="5">
        <v>1833.33</v>
      </c>
    </row>
    <row r="1000" spans="1:23" ht="60.75">
      <c r="A1000" s="3" t="s">
        <v>23</v>
      </c>
      <c r="B1000" s="3" t="s">
        <v>24</v>
      </c>
      <c r="C1000" s="3" t="s">
        <v>35</v>
      </c>
      <c r="D1000" s="3" t="s">
        <v>39</v>
      </c>
      <c r="E1000" s="3" t="s">
        <v>30</v>
      </c>
      <c r="F1000" s="3" t="s">
        <v>84</v>
      </c>
      <c r="G1000" s="3">
        <v>2016</v>
      </c>
      <c r="H1000" s="3" t="str">
        <f>CONCATENATE("64240718995")</f>
        <v>64240718995</v>
      </c>
      <c r="I1000" s="3" t="s">
        <v>25</v>
      </c>
      <c r="J1000" s="3" t="s">
        <v>26</v>
      </c>
      <c r="K1000" s="3" t="str">
        <f t="shared" si="35"/>
        <v/>
      </c>
      <c r="L1000" s="3" t="str">
        <f>CONCATENATE("11 11.2 4b")</f>
        <v>11 11.2 4b</v>
      </c>
      <c r="M1000" s="3" t="str">
        <f>CONCATENATE("PTRLRC60P61C524X")</f>
        <v>PTRLRC60P61C524X</v>
      </c>
      <c r="N1000" s="3" t="s">
        <v>1097</v>
      </c>
      <c r="O1000" s="3"/>
      <c r="P1000" s="4">
        <v>42783</v>
      </c>
      <c r="Q1000" s="3" t="s">
        <v>27</v>
      </c>
      <c r="R1000" s="3" t="s">
        <v>28</v>
      </c>
      <c r="S1000" s="3" t="s">
        <v>29</v>
      </c>
      <c r="T1000" s="5">
        <v>2487.38</v>
      </c>
      <c r="U1000" s="5">
        <v>1072.56</v>
      </c>
      <c r="V1000" s="3">
        <v>990.47</v>
      </c>
      <c r="W1000" s="3">
        <v>424.35</v>
      </c>
    </row>
    <row r="1001" spans="1:23" ht="60.75">
      <c r="A1001" s="3" t="s">
        <v>23</v>
      </c>
      <c r="B1001" s="3" t="s">
        <v>24</v>
      </c>
      <c r="C1001" s="3" t="s">
        <v>35</v>
      </c>
      <c r="D1001" s="3" t="s">
        <v>48</v>
      </c>
      <c r="E1001" s="3" t="s">
        <v>49</v>
      </c>
      <c r="F1001" s="3" t="s">
        <v>74</v>
      </c>
      <c r="G1001" s="3">
        <v>2016</v>
      </c>
      <c r="H1001" s="3" t="str">
        <f>CONCATENATE("64210821969")</f>
        <v>64210821969</v>
      </c>
      <c r="I1001" s="3" t="s">
        <v>25</v>
      </c>
      <c r="J1001" s="3" t="s">
        <v>26</v>
      </c>
      <c r="K1001" s="3" t="str">
        <f t="shared" si="35"/>
        <v/>
      </c>
      <c r="L1001" s="3" t="str">
        <f>CONCATENATE("13 13.1 4a")</f>
        <v>13 13.1 4a</v>
      </c>
      <c r="M1001" s="3" t="str">
        <f>CONCATENATE("MSSLCU84B21I156H")</f>
        <v>MSSLCU84B21I156H</v>
      </c>
      <c r="N1001" s="3" t="s">
        <v>1098</v>
      </c>
      <c r="O1001" s="3"/>
      <c r="P1001" s="4">
        <v>42783</v>
      </c>
      <c r="Q1001" s="3" t="s">
        <v>27</v>
      </c>
      <c r="R1001" s="3" t="s">
        <v>28</v>
      </c>
      <c r="S1001" s="3" t="s">
        <v>29</v>
      </c>
      <c r="T1001" s="5">
        <v>5400</v>
      </c>
      <c r="U1001" s="5">
        <v>2328.48</v>
      </c>
      <c r="V1001" s="5">
        <v>2150.2800000000002</v>
      </c>
      <c r="W1001" s="3">
        <v>921.24</v>
      </c>
    </row>
    <row r="1002" spans="1:23" ht="60.75">
      <c r="A1002" s="3" t="s">
        <v>23</v>
      </c>
      <c r="B1002" s="3" t="s">
        <v>24</v>
      </c>
      <c r="C1002" s="3" t="s">
        <v>35</v>
      </c>
      <c r="D1002" s="3" t="s">
        <v>36</v>
      </c>
      <c r="E1002" s="3" t="s">
        <v>30</v>
      </c>
      <c r="F1002" s="3" t="s">
        <v>37</v>
      </c>
      <c r="G1002" s="3">
        <v>2016</v>
      </c>
      <c r="H1002" s="3" t="str">
        <f>CONCATENATE("64210709180")</f>
        <v>64210709180</v>
      </c>
      <c r="I1002" s="3" t="s">
        <v>25</v>
      </c>
      <c r="J1002" s="3" t="s">
        <v>26</v>
      </c>
      <c r="K1002" s="3" t="str">
        <f t="shared" si="35"/>
        <v/>
      </c>
      <c r="L1002" s="3" t="str">
        <f>CONCATENATE("13 13.1 4a")</f>
        <v>13 13.1 4a</v>
      </c>
      <c r="M1002" s="3" t="str">
        <f>CONCATENATE("TFNPLA56S05D691Z")</f>
        <v>TFNPLA56S05D691Z</v>
      </c>
      <c r="N1002" s="3" t="s">
        <v>1099</v>
      </c>
      <c r="O1002" s="3"/>
      <c r="P1002" s="4">
        <v>42783</v>
      </c>
      <c r="Q1002" s="3" t="s">
        <v>27</v>
      </c>
      <c r="R1002" s="3" t="s">
        <v>28</v>
      </c>
      <c r="S1002" s="3" t="s">
        <v>29</v>
      </c>
      <c r="T1002" s="3">
        <v>956.47</v>
      </c>
      <c r="U1002" s="3">
        <v>412.43</v>
      </c>
      <c r="V1002" s="3">
        <v>380.87</v>
      </c>
      <c r="W1002" s="3">
        <v>163.16999999999999</v>
      </c>
    </row>
    <row r="1003" spans="1:23" ht="60.75">
      <c r="A1003" s="3" t="s">
        <v>23</v>
      </c>
      <c r="B1003" s="3" t="s">
        <v>24</v>
      </c>
      <c r="C1003" s="3" t="s">
        <v>35</v>
      </c>
      <c r="D1003" s="3" t="s">
        <v>48</v>
      </c>
      <c r="E1003" s="3" t="s">
        <v>33</v>
      </c>
      <c r="F1003" s="3" t="s">
        <v>212</v>
      </c>
      <c r="G1003" s="3">
        <v>2016</v>
      </c>
      <c r="H1003" s="3" t="str">
        <f>CONCATENATE("64240650677")</f>
        <v>64240650677</v>
      </c>
      <c r="I1003" s="3" t="s">
        <v>25</v>
      </c>
      <c r="J1003" s="3" t="s">
        <v>26</v>
      </c>
      <c r="K1003" s="3" t="str">
        <f t="shared" si="35"/>
        <v/>
      </c>
      <c r="L1003" s="3" t="str">
        <f>CONCATENATE("11 11.2 4b")</f>
        <v>11 11.2 4b</v>
      </c>
      <c r="M1003" s="3" t="str">
        <f>CONCATENATE("PRMSMN72B22E388V")</f>
        <v>PRMSMN72B22E388V</v>
      </c>
      <c r="N1003" s="3" t="s">
        <v>1100</v>
      </c>
      <c r="O1003" s="3"/>
      <c r="P1003" s="4">
        <v>42783</v>
      </c>
      <c r="Q1003" s="3" t="s">
        <v>27</v>
      </c>
      <c r="R1003" s="3" t="s">
        <v>28</v>
      </c>
      <c r="S1003" s="3" t="s">
        <v>29</v>
      </c>
      <c r="T1003" s="5">
        <v>1215.23</v>
      </c>
      <c r="U1003" s="3">
        <v>524.01</v>
      </c>
      <c r="V1003" s="3">
        <v>483.9</v>
      </c>
      <c r="W1003" s="3">
        <v>207.32</v>
      </c>
    </row>
    <row r="1004" spans="1:23" ht="60.75">
      <c r="A1004" s="3" t="s">
        <v>23</v>
      </c>
      <c r="B1004" s="3" t="s">
        <v>24</v>
      </c>
      <c r="C1004" s="3" t="s">
        <v>35</v>
      </c>
      <c r="D1004" s="3" t="s">
        <v>43</v>
      </c>
      <c r="E1004" s="3" t="s">
        <v>32</v>
      </c>
      <c r="F1004" s="3" t="s">
        <v>78</v>
      </c>
      <c r="G1004" s="3">
        <v>2016</v>
      </c>
      <c r="H1004" s="3" t="str">
        <f>CONCATENATE("64210552911")</f>
        <v>64210552911</v>
      </c>
      <c r="I1004" s="3" t="s">
        <v>25</v>
      </c>
      <c r="J1004" s="3" t="s">
        <v>26</v>
      </c>
      <c r="K1004" s="3" t="str">
        <f t="shared" si="35"/>
        <v/>
      </c>
      <c r="L1004" s="3" t="str">
        <f>CONCATENATE("13 13.1 4a")</f>
        <v>13 13.1 4a</v>
      </c>
      <c r="M1004" s="3" t="str">
        <f>CONCATENATE("CGRNNA51E42A978B")</f>
        <v>CGRNNA51E42A978B</v>
      </c>
      <c r="N1004" s="3" t="s">
        <v>1101</v>
      </c>
      <c r="O1004" s="3"/>
      <c r="P1004" s="4">
        <v>42783</v>
      </c>
      <c r="Q1004" s="3" t="s">
        <v>27</v>
      </c>
      <c r="R1004" s="3" t="s">
        <v>28</v>
      </c>
      <c r="S1004" s="3" t="s">
        <v>29</v>
      </c>
      <c r="T1004" s="5">
        <v>1884.7</v>
      </c>
      <c r="U1004" s="3">
        <v>812.68</v>
      </c>
      <c r="V1004" s="3">
        <v>750.49</v>
      </c>
      <c r="W1004" s="3">
        <v>321.52999999999997</v>
      </c>
    </row>
    <row r="1005" spans="1:23" ht="60.75">
      <c r="A1005" s="3" t="s">
        <v>23</v>
      </c>
      <c r="B1005" s="3" t="s">
        <v>24</v>
      </c>
      <c r="C1005" s="3" t="s">
        <v>35</v>
      </c>
      <c r="D1005" s="3" t="s">
        <v>36</v>
      </c>
      <c r="E1005" s="3" t="s">
        <v>30</v>
      </c>
      <c r="F1005" s="3" t="s">
        <v>67</v>
      </c>
      <c r="G1005" s="3">
        <v>2016</v>
      </c>
      <c r="H1005" s="3" t="str">
        <f>CONCATENATE("64240525630")</f>
        <v>64240525630</v>
      </c>
      <c r="I1005" s="3" t="s">
        <v>25</v>
      </c>
      <c r="J1005" s="3" t="s">
        <v>26</v>
      </c>
      <c r="K1005" s="3" t="str">
        <f t="shared" si="35"/>
        <v/>
      </c>
      <c r="L1005" s="3" t="str">
        <f>CONCATENATE("11 11.2 4b")</f>
        <v>11 11.2 4b</v>
      </c>
      <c r="M1005" s="3" t="str">
        <f>CONCATENATE("CCLFBA59E17H501H")</f>
        <v>CCLFBA59E17H501H</v>
      </c>
      <c r="N1005" s="3" t="s">
        <v>1102</v>
      </c>
      <c r="O1005" s="3"/>
      <c r="P1005" s="4">
        <v>42783</v>
      </c>
      <c r="Q1005" s="3" t="s">
        <v>27</v>
      </c>
      <c r="R1005" s="3" t="s">
        <v>28</v>
      </c>
      <c r="S1005" s="3" t="s">
        <v>29</v>
      </c>
      <c r="T1005" s="5">
        <v>1731.38</v>
      </c>
      <c r="U1005" s="3">
        <v>746.57</v>
      </c>
      <c r="V1005" s="3">
        <v>689.44</v>
      </c>
      <c r="W1005" s="3">
        <v>295.37</v>
      </c>
    </row>
    <row r="1006" spans="1:23" ht="36.75">
      <c r="A1006" s="3" t="s">
        <v>23</v>
      </c>
      <c r="B1006" s="3" t="s">
        <v>24</v>
      </c>
      <c r="C1006" s="3" t="s">
        <v>35</v>
      </c>
      <c r="D1006" s="3" t="s">
        <v>36</v>
      </c>
      <c r="E1006" s="3" t="s">
        <v>30</v>
      </c>
      <c r="F1006" s="3" t="s">
        <v>257</v>
      </c>
      <c r="G1006" s="3">
        <v>2016</v>
      </c>
      <c r="H1006" s="3" t="str">
        <f>CONCATENATE("64240437208")</f>
        <v>64240437208</v>
      </c>
      <c r="I1006" s="3" t="s">
        <v>25</v>
      </c>
      <c r="J1006" s="3" t="s">
        <v>26</v>
      </c>
      <c r="K1006" s="3" t="str">
        <f t="shared" ref="K1006:K1069" si="36">CONCATENATE("")</f>
        <v/>
      </c>
      <c r="L1006" s="3" t="str">
        <f>CONCATENATE("11 11.2 4b")</f>
        <v>11 11.2 4b</v>
      </c>
      <c r="M1006" s="3" t="str">
        <f>CONCATENATE("00470250440")</f>
        <v>00470250440</v>
      </c>
      <c r="N1006" s="3" t="s">
        <v>1103</v>
      </c>
      <c r="O1006" s="3"/>
      <c r="P1006" s="4">
        <v>42783</v>
      </c>
      <c r="Q1006" s="3" t="s">
        <v>27</v>
      </c>
      <c r="R1006" s="3" t="s">
        <v>28</v>
      </c>
      <c r="S1006" s="3" t="s">
        <v>29</v>
      </c>
      <c r="T1006" s="5">
        <v>2404.2399999999998</v>
      </c>
      <c r="U1006" s="5">
        <v>1036.71</v>
      </c>
      <c r="V1006" s="3">
        <v>957.37</v>
      </c>
      <c r="W1006" s="3">
        <v>410.16</v>
      </c>
    </row>
    <row r="1007" spans="1:23" ht="60.75">
      <c r="A1007" s="3" t="s">
        <v>23</v>
      </c>
      <c r="B1007" s="3" t="s">
        <v>24</v>
      </c>
      <c r="C1007" s="3" t="s">
        <v>35</v>
      </c>
      <c r="D1007" s="3" t="s">
        <v>43</v>
      </c>
      <c r="E1007" s="3" t="s">
        <v>32</v>
      </c>
      <c r="F1007" s="3" t="s">
        <v>78</v>
      </c>
      <c r="G1007" s="3">
        <v>2016</v>
      </c>
      <c r="H1007" s="3" t="str">
        <f>CONCATENATE("64210583288")</f>
        <v>64210583288</v>
      </c>
      <c r="I1007" s="3" t="s">
        <v>25</v>
      </c>
      <c r="J1007" s="3" t="s">
        <v>26</v>
      </c>
      <c r="K1007" s="3" t="str">
        <f t="shared" si="36"/>
        <v/>
      </c>
      <c r="L1007" s="3" t="str">
        <f>CONCATENATE("13 13.1 4a")</f>
        <v>13 13.1 4a</v>
      </c>
      <c r="M1007" s="3" t="str">
        <f>CONCATENATE("CGRMRA49C14A978P")</f>
        <v>CGRMRA49C14A978P</v>
      </c>
      <c r="N1007" s="3" t="s">
        <v>449</v>
      </c>
      <c r="O1007" s="3"/>
      <c r="P1007" s="4">
        <v>42783</v>
      </c>
      <c r="Q1007" s="3" t="s">
        <v>27</v>
      </c>
      <c r="R1007" s="3" t="s">
        <v>28</v>
      </c>
      <c r="S1007" s="3" t="s">
        <v>29</v>
      </c>
      <c r="T1007" s="5">
        <v>3656.28</v>
      </c>
      <c r="U1007" s="5">
        <v>1576.59</v>
      </c>
      <c r="V1007" s="5">
        <v>1455.93</v>
      </c>
      <c r="W1007" s="3">
        <v>623.76</v>
      </c>
    </row>
    <row r="1008" spans="1:23" ht="36.75">
      <c r="A1008" s="3" t="s">
        <v>23</v>
      </c>
      <c r="B1008" s="3" t="s">
        <v>24</v>
      </c>
      <c r="C1008" s="3" t="s">
        <v>35</v>
      </c>
      <c r="D1008" s="3" t="s">
        <v>48</v>
      </c>
      <c r="E1008" s="3" t="s">
        <v>30</v>
      </c>
      <c r="F1008" s="3" t="s">
        <v>157</v>
      </c>
      <c r="G1008" s="3">
        <v>2016</v>
      </c>
      <c r="H1008" s="3" t="str">
        <f>CONCATENATE("64240396446")</f>
        <v>64240396446</v>
      </c>
      <c r="I1008" s="3" t="s">
        <v>25</v>
      </c>
      <c r="J1008" s="3" t="s">
        <v>26</v>
      </c>
      <c r="K1008" s="3" t="str">
        <f t="shared" si="36"/>
        <v/>
      </c>
      <c r="L1008" s="3" t="str">
        <f>CONCATENATE("11 11.2 4b")</f>
        <v>11 11.2 4b</v>
      </c>
      <c r="M1008" s="3" t="str">
        <f>CONCATENATE("01909520437")</f>
        <v>01909520437</v>
      </c>
      <c r="N1008" s="3" t="s">
        <v>1104</v>
      </c>
      <c r="O1008" s="3"/>
      <c r="P1008" s="4">
        <v>42783</v>
      </c>
      <c r="Q1008" s="3" t="s">
        <v>27</v>
      </c>
      <c r="R1008" s="3" t="s">
        <v>28</v>
      </c>
      <c r="S1008" s="3" t="s">
        <v>29</v>
      </c>
      <c r="T1008" s="5">
        <v>12536.77</v>
      </c>
      <c r="U1008" s="5">
        <v>5405.86</v>
      </c>
      <c r="V1008" s="5">
        <v>4992.1400000000003</v>
      </c>
      <c r="W1008" s="5">
        <v>2138.77</v>
      </c>
    </row>
    <row r="1009" spans="1:23" ht="60.75">
      <c r="A1009" s="3" t="s">
        <v>23</v>
      </c>
      <c r="B1009" s="3" t="s">
        <v>24</v>
      </c>
      <c r="C1009" s="3" t="s">
        <v>35</v>
      </c>
      <c r="D1009" s="3" t="s">
        <v>43</v>
      </c>
      <c r="E1009" s="3" t="s">
        <v>32</v>
      </c>
      <c r="F1009" s="3" t="s">
        <v>184</v>
      </c>
      <c r="G1009" s="3">
        <v>2016</v>
      </c>
      <c r="H1009" s="3" t="str">
        <f>CONCATENATE("64240340709")</f>
        <v>64240340709</v>
      </c>
      <c r="I1009" s="3" t="s">
        <v>25</v>
      </c>
      <c r="J1009" s="3" t="s">
        <v>26</v>
      </c>
      <c r="K1009" s="3" t="str">
        <f t="shared" si="36"/>
        <v/>
      </c>
      <c r="L1009" s="3" t="str">
        <f>CONCATENATE("11 11.2 4b")</f>
        <v>11 11.2 4b</v>
      </c>
      <c r="M1009" s="3" t="str">
        <f>CONCATENATE("FLCRRT52B24D488I")</f>
        <v>FLCRRT52B24D488I</v>
      </c>
      <c r="N1009" s="3" t="s">
        <v>1105</v>
      </c>
      <c r="O1009" s="3"/>
      <c r="P1009" s="4">
        <v>42783</v>
      </c>
      <c r="Q1009" s="3" t="s">
        <v>27</v>
      </c>
      <c r="R1009" s="3" t="s">
        <v>28</v>
      </c>
      <c r="S1009" s="3" t="s">
        <v>29</v>
      </c>
      <c r="T1009" s="5">
        <v>18183.11</v>
      </c>
      <c r="U1009" s="5">
        <v>7840.56</v>
      </c>
      <c r="V1009" s="5">
        <v>7240.51</v>
      </c>
      <c r="W1009" s="5">
        <v>3102.04</v>
      </c>
    </row>
    <row r="1010" spans="1:23" ht="60.75">
      <c r="A1010" s="3" t="s">
        <v>23</v>
      </c>
      <c r="B1010" s="3" t="s">
        <v>24</v>
      </c>
      <c r="C1010" s="3" t="s">
        <v>35</v>
      </c>
      <c r="D1010" s="3" t="s">
        <v>43</v>
      </c>
      <c r="E1010" s="3" t="s">
        <v>30</v>
      </c>
      <c r="F1010" s="3" t="s">
        <v>113</v>
      </c>
      <c r="G1010" s="3">
        <v>2016</v>
      </c>
      <c r="H1010" s="3" t="str">
        <f>CONCATENATE("64210615544")</f>
        <v>64210615544</v>
      </c>
      <c r="I1010" s="3" t="s">
        <v>25</v>
      </c>
      <c r="J1010" s="3" t="s">
        <v>26</v>
      </c>
      <c r="K1010" s="3" t="str">
        <f t="shared" si="36"/>
        <v/>
      </c>
      <c r="L1010" s="3" t="str">
        <f>CONCATENATE("13 13.1 4a")</f>
        <v>13 13.1 4a</v>
      </c>
      <c r="M1010" s="3" t="str">
        <f>CONCATENATE("NSNVND43H48A327Y")</f>
        <v>NSNVND43H48A327Y</v>
      </c>
      <c r="N1010" s="3" t="s">
        <v>1106</v>
      </c>
      <c r="O1010" s="3"/>
      <c r="P1010" s="4">
        <v>42783</v>
      </c>
      <c r="Q1010" s="3" t="s">
        <v>27</v>
      </c>
      <c r="R1010" s="3" t="s">
        <v>28</v>
      </c>
      <c r="S1010" s="3" t="s">
        <v>29</v>
      </c>
      <c r="T1010" s="5">
        <v>2867.32</v>
      </c>
      <c r="U1010" s="5">
        <v>1236.3900000000001</v>
      </c>
      <c r="V1010" s="5">
        <v>1141.77</v>
      </c>
      <c r="W1010" s="3">
        <v>489.16</v>
      </c>
    </row>
    <row r="1011" spans="1:23" ht="36.75">
      <c r="A1011" s="3" t="s">
        <v>23</v>
      </c>
      <c r="B1011" s="3" t="s">
        <v>24</v>
      </c>
      <c r="C1011" s="3" t="s">
        <v>35</v>
      </c>
      <c r="D1011" s="3" t="s">
        <v>43</v>
      </c>
      <c r="E1011" s="3" t="s">
        <v>30</v>
      </c>
      <c r="F1011" s="3" t="s">
        <v>76</v>
      </c>
      <c r="G1011" s="3">
        <v>2016</v>
      </c>
      <c r="H1011" s="3" t="str">
        <f>CONCATENATE("64210163651")</f>
        <v>64210163651</v>
      </c>
      <c r="I1011" s="3" t="s">
        <v>25</v>
      </c>
      <c r="J1011" s="3" t="s">
        <v>26</v>
      </c>
      <c r="K1011" s="3" t="str">
        <f t="shared" si="36"/>
        <v/>
      </c>
      <c r="L1011" s="3" t="str">
        <f>CONCATENATE("13 13.1 4a")</f>
        <v>13 13.1 4a</v>
      </c>
      <c r="M1011" s="3" t="str">
        <f>CONCATENATE("01407300415")</f>
        <v>01407300415</v>
      </c>
      <c r="N1011" s="3" t="s">
        <v>1107</v>
      </c>
      <c r="O1011" s="3"/>
      <c r="P1011" s="4">
        <v>42783</v>
      </c>
      <c r="Q1011" s="3" t="s">
        <v>27</v>
      </c>
      <c r="R1011" s="3" t="s">
        <v>28</v>
      </c>
      <c r="S1011" s="3" t="s">
        <v>29</v>
      </c>
      <c r="T1011" s="5">
        <v>5238</v>
      </c>
      <c r="U1011" s="5">
        <v>2258.63</v>
      </c>
      <c r="V1011" s="5">
        <v>2085.77</v>
      </c>
      <c r="W1011" s="3">
        <v>893.6</v>
      </c>
    </row>
    <row r="1012" spans="1:23" ht="60.75">
      <c r="A1012" s="3" t="s">
        <v>23</v>
      </c>
      <c r="B1012" s="3" t="s">
        <v>24</v>
      </c>
      <c r="C1012" s="3" t="s">
        <v>35</v>
      </c>
      <c r="D1012" s="3" t="s">
        <v>39</v>
      </c>
      <c r="E1012" s="3" t="s">
        <v>32</v>
      </c>
      <c r="F1012" s="3" t="s">
        <v>215</v>
      </c>
      <c r="G1012" s="3">
        <v>2016</v>
      </c>
      <c r="H1012" s="3" t="str">
        <f>CONCATENATE("64240639720")</f>
        <v>64240639720</v>
      </c>
      <c r="I1012" s="3" t="s">
        <v>25</v>
      </c>
      <c r="J1012" s="3" t="s">
        <v>26</v>
      </c>
      <c r="K1012" s="3" t="str">
        <f t="shared" si="36"/>
        <v/>
      </c>
      <c r="L1012" s="3" t="str">
        <f>CONCATENATE("10 10.1 4a")</f>
        <v>10 10.1 4a</v>
      </c>
      <c r="M1012" s="3" t="str">
        <f>CONCATENATE("RNCMRZ64D19F745C")</f>
        <v>RNCMRZ64D19F745C</v>
      </c>
      <c r="N1012" s="3" t="s">
        <v>1108</v>
      </c>
      <c r="O1012" s="3"/>
      <c r="P1012" s="4">
        <v>42783</v>
      </c>
      <c r="Q1012" s="3" t="s">
        <v>27</v>
      </c>
      <c r="R1012" s="3" t="s">
        <v>28</v>
      </c>
      <c r="S1012" s="3" t="s">
        <v>29</v>
      </c>
      <c r="T1012" s="3">
        <v>90</v>
      </c>
      <c r="U1012" s="3">
        <v>38.81</v>
      </c>
      <c r="V1012" s="3">
        <v>35.840000000000003</v>
      </c>
      <c r="W1012" s="3">
        <v>15.35</v>
      </c>
    </row>
    <row r="1013" spans="1:23" ht="60.75">
      <c r="A1013" s="3" t="s">
        <v>23</v>
      </c>
      <c r="B1013" s="3" t="s">
        <v>24</v>
      </c>
      <c r="C1013" s="3" t="s">
        <v>35</v>
      </c>
      <c r="D1013" s="3" t="s">
        <v>39</v>
      </c>
      <c r="E1013" s="3" t="s">
        <v>32</v>
      </c>
      <c r="F1013" s="3" t="s">
        <v>215</v>
      </c>
      <c r="G1013" s="3">
        <v>2016</v>
      </c>
      <c r="H1013" s="3" t="str">
        <f>CONCATENATE("64240647467")</f>
        <v>64240647467</v>
      </c>
      <c r="I1013" s="3" t="s">
        <v>25</v>
      </c>
      <c r="J1013" s="3" t="s">
        <v>26</v>
      </c>
      <c r="K1013" s="3" t="str">
        <f t="shared" si="36"/>
        <v/>
      </c>
      <c r="L1013" s="3" t="str">
        <f>CONCATENATE("10 10.1 4a")</f>
        <v>10 10.1 4a</v>
      </c>
      <c r="M1013" s="3" t="str">
        <f>CONCATENATE("BRNDEA55R56E388D")</f>
        <v>BRNDEA55R56E388D</v>
      </c>
      <c r="N1013" s="3" t="s">
        <v>1109</v>
      </c>
      <c r="O1013" s="3"/>
      <c r="P1013" s="4">
        <v>42783</v>
      </c>
      <c r="Q1013" s="3" t="s">
        <v>27</v>
      </c>
      <c r="R1013" s="3" t="s">
        <v>28</v>
      </c>
      <c r="S1013" s="3" t="s">
        <v>29</v>
      </c>
      <c r="T1013" s="3">
        <v>79.2</v>
      </c>
      <c r="U1013" s="3">
        <v>34.15</v>
      </c>
      <c r="V1013" s="3">
        <v>31.54</v>
      </c>
      <c r="W1013" s="3">
        <v>13.51</v>
      </c>
    </row>
    <row r="1014" spans="1:23" ht="60.75">
      <c r="A1014" s="3" t="s">
        <v>23</v>
      </c>
      <c r="B1014" s="3" t="s">
        <v>24</v>
      </c>
      <c r="C1014" s="3" t="s">
        <v>35</v>
      </c>
      <c r="D1014" s="3" t="s">
        <v>48</v>
      </c>
      <c r="E1014" s="3" t="s">
        <v>30</v>
      </c>
      <c r="F1014" s="3" t="s">
        <v>57</v>
      </c>
      <c r="G1014" s="3">
        <v>2016</v>
      </c>
      <c r="H1014" s="3" t="str">
        <f>CONCATENATE("64240510335")</f>
        <v>64240510335</v>
      </c>
      <c r="I1014" s="3" t="s">
        <v>25</v>
      </c>
      <c r="J1014" s="3" t="s">
        <v>26</v>
      </c>
      <c r="K1014" s="3" t="str">
        <f t="shared" si="36"/>
        <v/>
      </c>
      <c r="L1014" s="3" t="str">
        <f>CONCATENATE("11 11.2 4b")</f>
        <v>11 11.2 4b</v>
      </c>
      <c r="M1014" s="3" t="str">
        <f>CONCATENATE("PRNFNC76R08L191H")</f>
        <v>PRNFNC76R08L191H</v>
      </c>
      <c r="N1014" s="3" t="s">
        <v>1110</v>
      </c>
      <c r="O1014" s="3"/>
      <c r="P1014" s="4">
        <v>42783</v>
      </c>
      <c r="Q1014" s="3" t="s">
        <v>27</v>
      </c>
      <c r="R1014" s="3" t="s">
        <v>28</v>
      </c>
      <c r="S1014" s="3" t="s">
        <v>29</v>
      </c>
      <c r="T1014" s="5">
        <v>3864.5</v>
      </c>
      <c r="U1014" s="5">
        <v>1666.37</v>
      </c>
      <c r="V1014" s="5">
        <v>1538.84</v>
      </c>
      <c r="W1014" s="3">
        <v>659.29</v>
      </c>
    </row>
    <row r="1015" spans="1:23" ht="60.75">
      <c r="A1015" s="3" t="s">
        <v>23</v>
      </c>
      <c r="B1015" s="3" t="s">
        <v>24</v>
      </c>
      <c r="C1015" s="3" t="s">
        <v>35</v>
      </c>
      <c r="D1015" s="3" t="s">
        <v>39</v>
      </c>
      <c r="E1015" s="3" t="s">
        <v>30</v>
      </c>
      <c r="F1015" s="3" t="s">
        <v>533</v>
      </c>
      <c r="G1015" s="3">
        <v>2016</v>
      </c>
      <c r="H1015" s="3" t="str">
        <f>CONCATENATE("64240412458")</f>
        <v>64240412458</v>
      </c>
      <c r="I1015" s="3" t="s">
        <v>25</v>
      </c>
      <c r="J1015" s="3" t="s">
        <v>26</v>
      </c>
      <c r="K1015" s="3" t="str">
        <f t="shared" si="36"/>
        <v/>
      </c>
      <c r="L1015" s="3" t="str">
        <f>CONCATENATE("11 11.2 4b")</f>
        <v>11 11.2 4b</v>
      </c>
      <c r="M1015" s="3" t="str">
        <f>CONCATENATE("NCLRRT79D29I461T")</f>
        <v>NCLRRT79D29I461T</v>
      </c>
      <c r="N1015" s="3" t="s">
        <v>1111</v>
      </c>
      <c r="O1015" s="3"/>
      <c r="P1015" s="4">
        <v>42783</v>
      </c>
      <c r="Q1015" s="3" t="s">
        <v>27</v>
      </c>
      <c r="R1015" s="3" t="s">
        <v>28</v>
      </c>
      <c r="S1015" s="3" t="s">
        <v>29</v>
      </c>
      <c r="T1015" s="5">
        <v>8875.5400000000009</v>
      </c>
      <c r="U1015" s="5">
        <v>3827.13</v>
      </c>
      <c r="V1015" s="5">
        <v>3534.24</v>
      </c>
      <c r="W1015" s="5">
        <v>1514.17</v>
      </c>
    </row>
    <row r="1016" spans="1:23" ht="36.75">
      <c r="A1016" s="3" t="s">
        <v>23</v>
      </c>
      <c r="B1016" s="3" t="s">
        <v>24</v>
      </c>
      <c r="C1016" s="3" t="s">
        <v>35</v>
      </c>
      <c r="D1016" s="3" t="s">
        <v>36</v>
      </c>
      <c r="E1016" s="3" t="s">
        <v>59</v>
      </c>
      <c r="F1016" s="3" t="s">
        <v>62</v>
      </c>
      <c r="G1016" s="3">
        <v>2016</v>
      </c>
      <c r="H1016" s="3" t="str">
        <f>CONCATENATE("64240292207")</f>
        <v>64240292207</v>
      </c>
      <c r="I1016" s="3" t="s">
        <v>25</v>
      </c>
      <c r="J1016" s="3" t="s">
        <v>26</v>
      </c>
      <c r="K1016" s="3" t="str">
        <f t="shared" si="36"/>
        <v/>
      </c>
      <c r="L1016" s="3" t="str">
        <f>CONCATENATE("11 11.2 4b")</f>
        <v>11 11.2 4b</v>
      </c>
      <c r="M1016" s="3" t="str">
        <f>CONCATENATE("01871270441")</f>
        <v>01871270441</v>
      </c>
      <c r="N1016" s="3" t="s">
        <v>1112</v>
      </c>
      <c r="O1016" s="3"/>
      <c r="P1016" s="4">
        <v>42783</v>
      </c>
      <c r="Q1016" s="3" t="s">
        <v>27</v>
      </c>
      <c r="R1016" s="3" t="s">
        <v>28</v>
      </c>
      <c r="S1016" s="3" t="s">
        <v>29</v>
      </c>
      <c r="T1016" s="5">
        <v>3001.7</v>
      </c>
      <c r="U1016" s="5">
        <v>1294.33</v>
      </c>
      <c r="V1016" s="5">
        <v>1195.28</v>
      </c>
      <c r="W1016" s="3">
        <v>512.09</v>
      </c>
    </row>
    <row r="1017" spans="1:23" ht="72.75">
      <c r="A1017" s="3" t="s">
        <v>23</v>
      </c>
      <c r="B1017" s="3" t="s">
        <v>24</v>
      </c>
      <c r="C1017" s="3" t="s">
        <v>35</v>
      </c>
      <c r="D1017" s="3" t="s">
        <v>43</v>
      </c>
      <c r="E1017" s="3" t="s">
        <v>30</v>
      </c>
      <c r="F1017" s="3" t="s">
        <v>113</v>
      </c>
      <c r="G1017" s="3">
        <v>2016</v>
      </c>
      <c r="H1017" s="3" t="str">
        <f>CONCATENATE("64210996449")</f>
        <v>64210996449</v>
      </c>
      <c r="I1017" s="3" t="s">
        <v>25</v>
      </c>
      <c r="J1017" s="3" t="s">
        <v>26</v>
      </c>
      <c r="K1017" s="3" t="str">
        <f t="shared" si="36"/>
        <v/>
      </c>
      <c r="L1017" s="3" t="str">
        <f>CONCATENATE("13 13.1 4a")</f>
        <v>13 13.1 4a</v>
      </c>
      <c r="M1017" s="3" t="str">
        <f>CONCATENATE("CNCMSM69R04A327W")</f>
        <v>CNCMSM69R04A327W</v>
      </c>
      <c r="N1017" s="3" t="s">
        <v>1113</v>
      </c>
      <c r="O1017" s="3"/>
      <c r="P1017" s="4">
        <v>42783</v>
      </c>
      <c r="Q1017" s="3" t="s">
        <v>27</v>
      </c>
      <c r="R1017" s="3" t="s">
        <v>28</v>
      </c>
      <c r="S1017" s="3" t="s">
        <v>29</v>
      </c>
      <c r="T1017" s="5">
        <v>2349.13</v>
      </c>
      <c r="U1017" s="5">
        <v>1012.94</v>
      </c>
      <c r="V1017" s="3">
        <v>935.42</v>
      </c>
      <c r="W1017" s="3">
        <v>400.77</v>
      </c>
    </row>
    <row r="1018" spans="1:23" ht="36.75">
      <c r="A1018" s="3" t="s">
        <v>23</v>
      </c>
      <c r="B1018" s="3" t="s">
        <v>24</v>
      </c>
      <c r="C1018" s="3" t="s">
        <v>35</v>
      </c>
      <c r="D1018" s="3" t="s">
        <v>48</v>
      </c>
      <c r="E1018" s="3" t="s">
        <v>49</v>
      </c>
      <c r="F1018" s="3" t="s">
        <v>50</v>
      </c>
      <c r="G1018" s="3">
        <v>2016</v>
      </c>
      <c r="H1018" s="3" t="str">
        <f>CONCATENATE("64210718827")</f>
        <v>64210718827</v>
      </c>
      <c r="I1018" s="3" t="s">
        <v>25</v>
      </c>
      <c r="J1018" s="3" t="s">
        <v>26</v>
      </c>
      <c r="K1018" s="3" t="str">
        <f t="shared" si="36"/>
        <v/>
      </c>
      <c r="L1018" s="3" t="str">
        <f>CONCATENATE("13 13.1 4a")</f>
        <v>13 13.1 4a</v>
      </c>
      <c r="M1018" s="3" t="str">
        <f>CONCATENATE("01794500437")</f>
        <v>01794500437</v>
      </c>
      <c r="N1018" s="3" t="s">
        <v>1114</v>
      </c>
      <c r="O1018" s="3"/>
      <c r="P1018" s="4">
        <v>42783</v>
      </c>
      <c r="Q1018" s="3" t="s">
        <v>27</v>
      </c>
      <c r="R1018" s="3" t="s">
        <v>28</v>
      </c>
      <c r="S1018" s="3" t="s">
        <v>29</v>
      </c>
      <c r="T1018" s="5">
        <v>5400</v>
      </c>
      <c r="U1018" s="5">
        <v>2328.48</v>
      </c>
      <c r="V1018" s="5">
        <v>2150.2800000000002</v>
      </c>
      <c r="W1018" s="3">
        <v>921.24</v>
      </c>
    </row>
    <row r="1019" spans="1:23" ht="60.75">
      <c r="A1019" s="3" t="s">
        <v>23</v>
      </c>
      <c r="B1019" s="3" t="s">
        <v>24</v>
      </c>
      <c r="C1019" s="3" t="s">
        <v>35</v>
      </c>
      <c r="D1019" s="3" t="s">
        <v>43</v>
      </c>
      <c r="E1019" s="3" t="s">
        <v>30</v>
      </c>
      <c r="F1019" s="3" t="s">
        <v>113</v>
      </c>
      <c r="G1019" s="3">
        <v>2016</v>
      </c>
      <c r="H1019" s="3" t="str">
        <f>CONCATENATE("64210802720")</f>
        <v>64210802720</v>
      </c>
      <c r="I1019" s="3" t="s">
        <v>25</v>
      </c>
      <c r="J1019" s="3" t="s">
        <v>26</v>
      </c>
      <c r="K1019" s="3" t="str">
        <f t="shared" si="36"/>
        <v/>
      </c>
      <c r="L1019" s="3" t="str">
        <f>CONCATENATE("13 13.1 4a")</f>
        <v>13 13.1 4a</v>
      </c>
      <c r="M1019" s="3" t="str">
        <f>CONCATENATE("BEILCN75T13B352K")</f>
        <v>BEILCN75T13B352K</v>
      </c>
      <c r="N1019" s="3" t="s">
        <v>1115</v>
      </c>
      <c r="O1019" s="3"/>
      <c r="P1019" s="4">
        <v>42783</v>
      </c>
      <c r="Q1019" s="3" t="s">
        <v>27</v>
      </c>
      <c r="R1019" s="3" t="s">
        <v>28</v>
      </c>
      <c r="S1019" s="3" t="s">
        <v>29</v>
      </c>
      <c r="T1019" s="5">
        <v>2186.7800000000002</v>
      </c>
      <c r="U1019" s="3">
        <v>942.94</v>
      </c>
      <c r="V1019" s="3">
        <v>870.78</v>
      </c>
      <c r="W1019" s="3">
        <v>373.06</v>
      </c>
    </row>
    <row r="1020" spans="1:23" ht="60.75">
      <c r="A1020" s="3" t="s">
        <v>23</v>
      </c>
      <c r="B1020" s="3" t="s">
        <v>24</v>
      </c>
      <c r="C1020" s="3" t="s">
        <v>35</v>
      </c>
      <c r="D1020" s="3" t="s">
        <v>48</v>
      </c>
      <c r="E1020" s="3" t="s">
        <v>59</v>
      </c>
      <c r="F1020" s="3" t="s">
        <v>240</v>
      </c>
      <c r="G1020" s="3">
        <v>2016</v>
      </c>
      <c r="H1020" s="3" t="str">
        <f>CONCATENATE("64240520151")</f>
        <v>64240520151</v>
      </c>
      <c r="I1020" s="3" t="s">
        <v>25</v>
      </c>
      <c r="J1020" s="3" t="s">
        <v>26</v>
      </c>
      <c r="K1020" s="3" t="str">
        <f t="shared" si="36"/>
        <v/>
      </c>
      <c r="L1020" s="3" t="str">
        <f>CONCATENATE("11 11.2 4b")</f>
        <v>11 11.2 4b</v>
      </c>
      <c r="M1020" s="3" t="str">
        <f>CONCATENATE("BNDLVC58P64E783O")</f>
        <v>BNDLVC58P64E783O</v>
      </c>
      <c r="N1020" s="3" t="s">
        <v>1116</v>
      </c>
      <c r="O1020" s="3"/>
      <c r="P1020" s="4">
        <v>42783</v>
      </c>
      <c r="Q1020" s="3" t="s">
        <v>27</v>
      </c>
      <c r="R1020" s="3" t="s">
        <v>28</v>
      </c>
      <c r="S1020" s="3" t="s">
        <v>29</v>
      </c>
      <c r="T1020" s="5">
        <v>7236.28</v>
      </c>
      <c r="U1020" s="5">
        <v>3120.28</v>
      </c>
      <c r="V1020" s="5">
        <v>2881.49</v>
      </c>
      <c r="W1020" s="5">
        <v>1234.51</v>
      </c>
    </row>
    <row r="1021" spans="1:23" ht="72.75">
      <c r="A1021" s="3" t="s">
        <v>23</v>
      </c>
      <c r="B1021" s="3" t="s">
        <v>24</v>
      </c>
      <c r="C1021" s="3" t="s">
        <v>35</v>
      </c>
      <c r="D1021" s="3" t="s">
        <v>36</v>
      </c>
      <c r="E1021" s="3" t="s">
        <v>33</v>
      </c>
      <c r="F1021" s="3" t="s">
        <v>95</v>
      </c>
      <c r="G1021" s="3">
        <v>2016</v>
      </c>
      <c r="H1021" s="3" t="str">
        <f>CONCATENATE("64240428223")</f>
        <v>64240428223</v>
      </c>
      <c r="I1021" s="3" t="s">
        <v>25</v>
      </c>
      <c r="J1021" s="3" t="s">
        <v>26</v>
      </c>
      <c r="K1021" s="3" t="str">
        <f t="shared" si="36"/>
        <v/>
      </c>
      <c r="L1021" s="3" t="str">
        <f>CONCATENATE("11 11.2 4b")</f>
        <v>11 11.2 4b</v>
      </c>
      <c r="M1021" s="3" t="str">
        <f>CONCATENATE("GSTMRN63S68H769E")</f>
        <v>GSTMRN63S68H769E</v>
      </c>
      <c r="N1021" s="3" t="s">
        <v>1117</v>
      </c>
      <c r="O1021" s="3"/>
      <c r="P1021" s="4">
        <v>42783</v>
      </c>
      <c r="Q1021" s="3" t="s">
        <v>27</v>
      </c>
      <c r="R1021" s="3" t="s">
        <v>28</v>
      </c>
      <c r="S1021" s="3" t="s">
        <v>29</v>
      </c>
      <c r="T1021" s="5">
        <v>1194.23</v>
      </c>
      <c r="U1021" s="3">
        <v>514.95000000000005</v>
      </c>
      <c r="V1021" s="3">
        <v>475.54</v>
      </c>
      <c r="W1021" s="3">
        <v>203.74</v>
      </c>
    </row>
    <row r="1022" spans="1:23" ht="60.75">
      <c r="A1022" s="3" t="s">
        <v>23</v>
      </c>
      <c r="B1022" s="3" t="s">
        <v>24</v>
      </c>
      <c r="C1022" s="3" t="s">
        <v>35</v>
      </c>
      <c r="D1022" s="3" t="s">
        <v>36</v>
      </c>
      <c r="E1022" s="3" t="s">
        <v>33</v>
      </c>
      <c r="F1022" s="3" t="s">
        <v>95</v>
      </c>
      <c r="G1022" s="3">
        <v>2016</v>
      </c>
      <c r="H1022" s="3" t="str">
        <f>CONCATENATE("64240426136")</f>
        <v>64240426136</v>
      </c>
      <c r="I1022" s="3" t="s">
        <v>25</v>
      </c>
      <c r="J1022" s="3" t="s">
        <v>26</v>
      </c>
      <c r="K1022" s="3" t="str">
        <f t="shared" si="36"/>
        <v/>
      </c>
      <c r="L1022" s="3" t="str">
        <f>CONCATENATE("11 11.2 4b")</f>
        <v>11 11.2 4b</v>
      </c>
      <c r="M1022" s="3" t="str">
        <f>CONCATENATE("BRNSST61R26G516G")</f>
        <v>BRNSST61R26G516G</v>
      </c>
      <c r="N1022" s="3" t="s">
        <v>1118</v>
      </c>
      <c r="O1022" s="3"/>
      <c r="P1022" s="4">
        <v>42783</v>
      </c>
      <c r="Q1022" s="3" t="s">
        <v>27</v>
      </c>
      <c r="R1022" s="3" t="s">
        <v>28</v>
      </c>
      <c r="S1022" s="3" t="s">
        <v>29</v>
      </c>
      <c r="T1022" s="5">
        <v>1053.03</v>
      </c>
      <c r="U1022" s="3">
        <v>454.07</v>
      </c>
      <c r="V1022" s="3">
        <v>419.32</v>
      </c>
      <c r="W1022" s="3">
        <v>179.64</v>
      </c>
    </row>
    <row r="1023" spans="1:23" ht="60.75">
      <c r="A1023" s="3" t="s">
        <v>23</v>
      </c>
      <c r="B1023" s="3" t="s">
        <v>24</v>
      </c>
      <c r="C1023" s="3" t="s">
        <v>35</v>
      </c>
      <c r="D1023" s="3" t="s">
        <v>43</v>
      </c>
      <c r="E1023" s="3" t="s">
        <v>32</v>
      </c>
      <c r="F1023" s="3" t="s">
        <v>78</v>
      </c>
      <c r="G1023" s="3">
        <v>2016</v>
      </c>
      <c r="H1023" s="3" t="str">
        <f>CONCATENATE("64210795460")</f>
        <v>64210795460</v>
      </c>
      <c r="I1023" s="3" t="s">
        <v>25</v>
      </c>
      <c r="J1023" s="3" t="s">
        <v>26</v>
      </c>
      <c r="K1023" s="3" t="str">
        <f t="shared" si="36"/>
        <v/>
      </c>
      <c r="L1023" s="3" t="str">
        <f>CONCATENATE("13 13.1 4a")</f>
        <v>13 13.1 4a</v>
      </c>
      <c r="M1023" s="3" t="str">
        <f>CONCATENATE("FRRMTT86A19F137A")</f>
        <v>FRRMTT86A19F137A</v>
      </c>
      <c r="N1023" s="3" t="s">
        <v>1119</v>
      </c>
      <c r="O1023" s="3"/>
      <c r="P1023" s="4">
        <v>42783</v>
      </c>
      <c r="Q1023" s="3" t="s">
        <v>27</v>
      </c>
      <c r="R1023" s="3" t="s">
        <v>28</v>
      </c>
      <c r="S1023" s="3" t="s">
        <v>29</v>
      </c>
      <c r="T1023" s="5">
        <v>3170.42</v>
      </c>
      <c r="U1023" s="5">
        <v>1367.09</v>
      </c>
      <c r="V1023" s="5">
        <v>1262.46</v>
      </c>
      <c r="W1023" s="3">
        <v>540.87</v>
      </c>
    </row>
    <row r="1024" spans="1:23" ht="36.75">
      <c r="A1024" s="3" t="s">
        <v>23</v>
      </c>
      <c r="B1024" s="3" t="s">
        <v>24</v>
      </c>
      <c r="C1024" s="3" t="s">
        <v>35</v>
      </c>
      <c r="D1024" s="3" t="s">
        <v>36</v>
      </c>
      <c r="E1024" s="3" t="s">
        <v>30</v>
      </c>
      <c r="F1024" s="3" t="s">
        <v>37</v>
      </c>
      <c r="G1024" s="3">
        <v>2016</v>
      </c>
      <c r="H1024" s="3" t="str">
        <f>CONCATENATE("64240478509")</f>
        <v>64240478509</v>
      </c>
      <c r="I1024" s="3" t="s">
        <v>25</v>
      </c>
      <c r="J1024" s="3" t="s">
        <v>26</v>
      </c>
      <c r="K1024" s="3" t="str">
        <f t="shared" si="36"/>
        <v/>
      </c>
      <c r="L1024" s="3" t="str">
        <f>CONCATENATE("10 10.1 4b")</f>
        <v>10 10.1 4b</v>
      </c>
      <c r="M1024" s="3" t="str">
        <f>CONCATENATE("00485130447")</f>
        <v>00485130447</v>
      </c>
      <c r="N1024" s="3" t="s">
        <v>1120</v>
      </c>
      <c r="O1024" s="3"/>
      <c r="P1024" s="4">
        <v>42783</v>
      </c>
      <c r="Q1024" s="3" t="s">
        <v>27</v>
      </c>
      <c r="R1024" s="3" t="s">
        <v>28</v>
      </c>
      <c r="S1024" s="3" t="s">
        <v>29</v>
      </c>
      <c r="T1024" s="5">
        <v>6187.79</v>
      </c>
      <c r="U1024" s="5">
        <v>2668.18</v>
      </c>
      <c r="V1024" s="5">
        <v>2463.98</v>
      </c>
      <c r="W1024" s="5">
        <v>1055.6300000000001</v>
      </c>
    </row>
    <row r="1025" spans="1:23" ht="60.75">
      <c r="A1025" s="3" t="s">
        <v>23</v>
      </c>
      <c r="B1025" s="3" t="s">
        <v>24</v>
      </c>
      <c r="C1025" s="3" t="s">
        <v>35</v>
      </c>
      <c r="D1025" s="3" t="s">
        <v>43</v>
      </c>
      <c r="E1025" s="3" t="s">
        <v>32</v>
      </c>
      <c r="F1025" s="3" t="s">
        <v>78</v>
      </c>
      <c r="G1025" s="3">
        <v>2016</v>
      </c>
      <c r="H1025" s="3" t="str">
        <f>CONCATENATE("64240379830")</f>
        <v>64240379830</v>
      </c>
      <c r="I1025" s="3" t="s">
        <v>25</v>
      </c>
      <c r="J1025" s="3" t="s">
        <v>26</v>
      </c>
      <c r="K1025" s="3" t="str">
        <f t="shared" si="36"/>
        <v/>
      </c>
      <c r="L1025" s="3" t="str">
        <f>CONCATENATE("11 11.2 4b")</f>
        <v>11 11.2 4b</v>
      </c>
      <c r="M1025" s="3" t="str">
        <f>CONCATENATE("BTTDNL62C26L500B")</f>
        <v>BTTDNL62C26L500B</v>
      </c>
      <c r="N1025" s="3" t="s">
        <v>674</v>
      </c>
      <c r="O1025" s="3"/>
      <c r="P1025" s="4">
        <v>42783</v>
      </c>
      <c r="Q1025" s="3" t="s">
        <v>27</v>
      </c>
      <c r="R1025" s="3" t="s">
        <v>28</v>
      </c>
      <c r="S1025" s="3" t="s">
        <v>29</v>
      </c>
      <c r="T1025" s="5">
        <v>8254.52</v>
      </c>
      <c r="U1025" s="5">
        <v>3559.35</v>
      </c>
      <c r="V1025" s="5">
        <v>3286.95</v>
      </c>
      <c r="W1025" s="5">
        <v>1408.22</v>
      </c>
    </row>
    <row r="1026" spans="1:23" ht="36.75">
      <c r="A1026" s="3" t="s">
        <v>23</v>
      </c>
      <c r="B1026" s="3" t="s">
        <v>24</v>
      </c>
      <c r="C1026" s="3" t="s">
        <v>35</v>
      </c>
      <c r="D1026" s="3" t="s">
        <v>48</v>
      </c>
      <c r="E1026" s="3" t="s">
        <v>30</v>
      </c>
      <c r="F1026" s="3" t="s">
        <v>91</v>
      </c>
      <c r="G1026" s="3">
        <v>2016</v>
      </c>
      <c r="H1026" s="3" t="str">
        <f>CONCATENATE("64240321014")</f>
        <v>64240321014</v>
      </c>
      <c r="I1026" s="3" t="s">
        <v>25</v>
      </c>
      <c r="J1026" s="3" t="s">
        <v>26</v>
      </c>
      <c r="K1026" s="3" t="str">
        <f t="shared" si="36"/>
        <v/>
      </c>
      <c r="L1026" s="3" t="str">
        <f>CONCATENATE("11 11.2 4b")</f>
        <v>11 11.2 4b</v>
      </c>
      <c r="M1026" s="3" t="str">
        <f>CONCATENATE("00396090433")</f>
        <v>00396090433</v>
      </c>
      <c r="N1026" s="3" t="s">
        <v>1121</v>
      </c>
      <c r="O1026" s="3"/>
      <c r="P1026" s="4">
        <v>42783</v>
      </c>
      <c r="Q1026" s="3" t="s">
        <v>27</v>
      </c>
      <c r="R1026" s="3" t="s">
        <v>28</v>
      </c>
      <c r="S1026" s="3" t="s">
        <v>29</v>
      </c>
      <c r="T1026" s="5">
        <v>2732.29</v>
      </c>
      <c r="U1026" s="5">
        <v>1178.1600000000001</v>
      </c>
      <c r="V1026" s="5">
        <v>1088</v>
      </c>
      <c r="W1026" s="3">
        <v>466.13</v>
      </c>
    </row>
    <row r="1027" spans="1:23" ht="60.75">
      <c r="A1027" s="3" t="s">
        <v>23</v>
      </c>
      <c r="B1027" s="3" t="s">
        <v>24</v>
      </c>
      <c r="C1027" s="3" t="s">
        <v>35</v>
      </c>
      <c r="D1027" s="3" t="s">
        <v>43</v>
      </c>
      <c r="E1027" s="3" t="s">
        <v>30</v>
      </c>
      <c r="F1027" s="3" t="s">
        <v>124</v>
      </c>
      <c r="G1027" s="3">
        <v>2016</v>
      </c>
      <c r="H1027" s="3" t="str">
        <f>CONCATENATE("64240822540")</f>
        <v>64240822540</v>
      </c>
      <c r="I1027" s="3" t="s">
        <v>25</v>
      </c>
      <c r="J1027" s="3" t="s">
        <v>26</v>
      </c>
      <c r="K1027" s="3" t="str">
        <f t="shared" si="36"/>
        <v/>
      </c>
      <c r="L1027" s="3" t="str">
        <f>CONCATENATE("11 11.2 4b")</f>
        <v>11 11.2 4b</v>
      </c>
      <c r="M1027" s="3" t="str">
        <f>CONCATENATE("CCCFNC65A18I287O")</f>
        <v>CCCFNC65A18I287O</v>
      </c>
      <c r="N1027" s="3" t="s">
        <v>1122</v>
      </c>
      <c r="O1027" s="3"/>
      <c r="P1027" s="4">
        <v>42783</v>
      </c>
      <c r="Q1027" s="3" t="s">
        <v>27</v>
      </c>
      <c r="R1027" s="3" t="s">
        <v>28</v>
      </c>
      <c r="S1027" s="3" t="s">
        <v>29</v>
      </c>
      <c r="T1027" s="5">
        <v>4173.12</v>
      </c>
      <c r="U1027" s="5">
        <v>1799.45</v>
      </c>
      <c r="V1027" s="5">
        <v>1661.74</v>
      </c>
      <c r="W1027" s="3">
        <v>711.93</v>
      </c>
    </row>
    <row r="1028" spans="1:23" ht="60.75">
      <c r="A1028" s="3" t="s">
        <v>23</v>
      </c>
      <c r="B1028" s="3" t="s">
        <v>24</v>
      </c>
      <c r="C1028" s="3" t="s">
        <v>35</v>
      </c>
      <c r="D1028" s="3" t="s">
        <v>48</v>
      </c>
      <c r="E1028" s="3" t="s">
        <v>34</v>
      </c>
      <c r="F1028" s="3" t="s">
        <v>141</v>
      </c>
      <c r="G1028" s="3">
        <v>2016</v>
      </c>
      <c r="H1028" s="3" t="str">
        <f>CONCATENATE("64240670717")</f>
        <v>64240670717</v>
      </c>
      <c r="I1028" s="3" t="s">
        <v>25</v>
      </c>
      <c r="J1028" s="3" t="s">
        <v>26</v>
      </c>
      <c r="K1028" s="3" t="str">
        <f t="shared" si="36"/>
        <v/>
      </c>
      <c r="L1028" s="3" t="str">
        <f>CONCATENATE("11 11.2 4b")</f>
        <v>11 11.2 4b</v>
      </c>
      <c r="M1028" s="3" t="str">
        <f>CONCATENATE("SFRLGU38M13E639Z")</f>
        <v>SFRLGU38M13E639Z</v>
      </c>
      <c r="N1028" s="3" t="s">
        <v>1123</v>
      </c>
      <c r="O1028" s="3"/>
      <c r="P1028" s="4">
        <v>42783</v>
      </c>
      <c r="Q1028" s="3" t="s">
        <v>27</v>
      </c>
      <c r="R1028" s="3" t="s">
        <v>28</v>
      </c>
      <c r="S1028" s="3" t="s">
        <v>29</v>
      </c>
      <c r="T1028" s="5">
        <v>6163.28</v>
      </c>
      <c r="U1028" s="5">
        <v>2657.61</v>
      </c>
      <c r="V1028" s="5">
        <v>2454.2199999999998</v>
      </c>
      <c r="W1028" s="5">
        <v>1051.45</v>
      </c>
    </row>
    <row r="1029" spans="1:23" ht="60.75">
      <c r="A1029" s="3" t="s">
        <v>23</v>
      </c>
      <c r="B1029" s="3" t="s">
        <v>24</v>
      </c>
      <c r="C1029" s="3" t="s">
        <v>35</v>
      </c>
      <c r="D1029" s="3" t="s">
        <v>39</v>
      </c>
      <c r="E1029" s="3" t="s">
        <v>30</v>
      </c>
      <c r="F1029" s="3" t="s">
        <v>84</v>
      </c>
      <c r="G1029" s="3">
        <v>2016</v>
      </c>
      <c r="H1029" s="3" t="str">
        <f>CONCATENATE("64210796088")</f>
        <v>64210796088</v>
      </c>
      <c r="I1029" s="3" t="s">
        <v>25</v>
      </c>
      <c r="J1029" s="3" t="s">
        <v>26</v>
      </c>
      <c r="K1029" s="3" t="str">
        <f t="shared" si="36"/>
        <v/>
      </c>
      <c r="L1029" s="3" t="str">
        <f>CONCATENATE("13 13.1 4a")</f>
        <v>13 13.1 4a</v>
      </c>
      <c r="M1029" s="3" t="str">
        <f>CONCATENATE("CSLFNC61H05I608M")</f>
        <v>CSLFNC61H05I608M</v>
      </c>
      <c r="N1029" s="3" t="s">
        <v>156</v>
      </c>
      <c r="O1029" s="3"/>
      <c r="P1029" s="4">
        <v>42783</v>
      </c>
      <c r="Q1029" s="3" t="s">
        <v>27</v>
      </c>
      <c r="R1029" s="3" t="s">
        <v>28</v>
      </c>
      <c r="S1029" s="3" t="s">
        <v>29</v>
      </c>
      <c r="T1029" s="5">
        <v>4506.82</v>
      </c>
      <c r="U1029" s="5">
        <v>1943.34</v>
      </c>
      <c r="V1029" s="5">
        <v>1794.62</v>
      </c>
      <c r="W1029" s="3">
        <v>768.86</v>
      </c>
    </row>
    <row r="1030" spans="1:23" ht="60.75">
      <c r="A1030" s="3" t="s">
        <v>23</v>
      </c>
      <c r="B1030" s="3" t="s">
        <v>24</v>
      </c>
      <c r="C1030" s="3" t="s">
        <v>35</v>
      </c>
      <c r="D1030" s="3" t="s">
        <v>43</v>
      </c>
      <c r="E1030" s="3" t="s">
        <v>32</v>
      </c>
      <c r="F1030" s="3" t="s">
        <v>78</v>
      </c>
      <c r="G1030" s="3">
        <v>2016</v>
      </c>
      <c r="H1030" s="3" t="str">
        <f>CONCATENATE("64240166286")</f>
        <v>64240166286</v>
      </c>
      <c r="I1030" s="3" t="s">
        <v>25</v>
      </c>
      <c r="J1030" s="3" t="s">
        <v>26</v>
      </c>
      <c r="K1030" s="3" t="str">
        <f t="shared" si="36"/>
        <v/>
      </c>
      <c r="L1030" s="3" t="str">
        <f>CONCATENATE("11 11.2 4b")</f>
        <v>11 11.2 4b</v>
      </c>
      <c r="M1030" s="3" t="str">
        <f>CONCATENATE("TTVFRN62H03L500F")</f>
        <v>TTVFRN62H03L500F</v>
      </c>
      <c r="N1030" s="3" t="s">
        <v>1124</v>
      </c>
      <c r="O1030" s="3"/>
      <c r="P1030" s="4">
        <v>42783</v>
      </c>
      <c r="Q1030" s="3" t="s">
        <v>27</v>
      </c>
      <c r="R1030" s="3" t="s">
        <v>28</v>
      </c>
      <c r="S1030" s="3" t="s">
        <v>29</v>
      </c>
      <c r="T1030" s="5">
        <v>3070.63</v>
      </c>
      <c r="U1030" s="5">
        <v>1324.06</v>
      </c>
      <c r="V1030" s="5">
        <v>1222.72</v>
      </c>
      <c r="W1030" s="3">
        <v>523.85</v>
      </c>
    </row>
    <row r="1031" spans="1:23" ht="60.75">
      <c r="A1031" s="3" t="s">
        <v>23</v>
      </c>
      <c r="B1031" s="3" t="s">
        <v>24</v>
      </c>
      <c r="C1031" s="3" t="s">
        <v>35</v>
      </c>
      <c r="D1031" s="3" t="s">
        <v>36</v>
      </c>
      <c r="E1031" s="3" t="s">
        <v>30</v>
      </c>
      <c r="F1031" s="3" t="s">
        <v>37</v>
      </c>
      <c r="G1031" s="3">
        <v>2016</v>
      </c>
      <c r="H1031" s="3" t="str">
        <f>CONCATENATE("64240202065")</f>
        <v>64240202065</v>
      </c>
      <c r="I1031" s="3" t="s">
        <v>25</v>
      </c>
      <c r="J1031" s="3" t="s">
        <v>26</v>
      </c>
      <c r="K1031" s="3" t="str">
        <f t="shared" si="36"/>
        <v/>
      </c>
      <c r="L1031" s="3" t="str">
        <f>CONCATENATE("11 11.2 4b")</f>
        <v>11 11.2 4b</v>
      </c>
      <c r="M1031" s="3" t="str">
        <f>CONCATENATE("MDESNS41B02F415Z")</f>
        <v>MDESNS41B02F415Z</v>
      </c>
      <c r="N1031" s="3" t="s">
        <v>1125</v>
      </c>
      <c r="O1031" s="3"/>
      <c r="P1031" s="4">
        <v>42783</v>
      </c>
      <c r="Q1031" s="3" t="s">
        <v>27</v>
      </c>
      <c r="R1031" s="3" t="s">
        <v>28</v>
      </c>
      <c r="S1031" s="3" t="s">
        <v>29</v>
      </c>
      <c r="T1031" s="5">
        <v>8716.1</v>
      </c>
      <c r="U1031" s="5">
        <v>3758.38</v>
      </c>
      <c r="V1031" s="5">
        <v>3470.75</v>
      </c>
      <c r="W1031" s="5">
        <v>1486.97</v>
      </c>
    </row>
    <row r="1032" spans="1:23" ht="60.75">
      <c r="A1032" s="3" t="s">
        <v>23</v>
      </c>
      <c r="B1032" s="3" t="s">
        <v>24</v>
      </c>
      <c r="C1032" s="3" t="s">
        <v>35</v>
      </c>
      <c r="D1032" s="3" t="s">
        <v>48</v>
      </c>
      <c r="E1032" s="3" t="s">
        <v>30</v>
      </c>
      <c r="F1032" s="3" t="s">
        <v>236</v>
      </c>
      <c r="G1032" s="3">
        <v>2016</v>
      </c>
      <c r="H1032" s="3" t="str">
        <f>CONCATENATE("64240577375")</f>
        <v>64240577375</v>
      </c>
      <c r="I1032" s="3" t="s">
        <v>25</v>
      </c>
      <c r="J1032" s="3" t="s">
        <v>26</v>
      </c>
      <c r="K1032" s="3" t="str">
        <f t="shared" si="36"/>
        <v/>
      </c>
      <c r="L1032" s="3" t="str">
        <f>CONCATENATE("11 11.2 4b")</f>
        <v>11 11.2 4b</v>
      </c>
      <c r="M1032" s="3" t="str">
        <f>CONCATENATE("CLZLLI35E56C704B")</f>
        <v>CLZLLI35E56C704B</v>
      </c>
      <c r="N1032" s="3" t="s">
        <v>1126</v>
      </c>
      <c r="O1032" s="3"/>
      <c r="P1032" s="4">
        <v>42783</v>
      </c>
      <c r="Q1032" s="3" t="s">
        <v>27</v>
      </c>
      <c r="R1032" s="3" t="s">
        <v>28</v>
      </c>
      <c r="S1032" s="3" t="s">
        <v>29</v>
      </c>
      <c r="T1032" s="5">
        <v>1337.09</v>
      </c>
      <c r="U1032" s="3">
        <v>576.54999999999995</v>
      </c>
      <c r="V1032" s="3">
        <v>532.42999999999995</v>
      </c>
      <c r="W1032" s="3">
        <v>228.11</v>
      </c>
    </row>
    <row r="1033" spans="1:23" ht="60.75">
      <c r="A1033" s="3" t="s">
        <v>23</v>
      </c>
      <c r="B1033" s="3" t="s">
        <v>24</v>
      </c>
      <c r="C1033" s="3" t="s">
        <v>35</v>
      </c>
      <c r="D1033" s="3" t="s">
        <v>36</v>
      </c>
      <c r="E1033" s="3" t="s">
        <v>30</v>
      </c>
      <c r="F1033" s="3" t="s">
        <v>86</v>
      </c>
      <c r="G1033" s="3">
        <v>2016</v>
      </c>
      <c r="H1033" s="3" t="str">
        <f>CONCATENATE("64240711263")</f>
        <v>64240711263</v>
      </c>
      <c r="I1033" s="3" t="s">
        <v>25</v>
      </c>
      <c r="J1033" s="3" t="s">
        <v>26</v>
      </c>
      <c r="K1033" s="3" t="str">
        <f t="shared" si="36"/>
        <v/>
      </c>
      <c r="L1033" s="3" t="str">
        <f>CONCATENATE("11 11.2 4b")</f>
        <v>11 11.2 4b</v>
      </c>
      <c r="M1033" s="3" t="str">
        <f>CONCATENATE("VLRGDU58L28H501Y")</f>
        <v>VLRGDU58L28H501Y</v>
      </c>
      <c r="N1033" s="3" t="s">
        <v>1127</v>
      </c>
      <c r="O1033" s="3"/>
      <c r="P1033" s="4">
        <v>42783</v>
      </c>
      <c r="Q1033" s="3" t="s">
        <v>27</v>
      </c>
      <c r="R1033" s="3" t="s">
        <v>28</v>
      </c>
      <c r="S1033" s="3" t="s">
        <v>29</v>
      </c>
      <c r="T1033" s="5">
        <v>2608.2199999999998</v>
      </c>
      <c r="U1033" s="5">
        <v>1124.6600000000001</v>
      </c>
      <c r="V1033" s="5">
        <v>1038.5899999999999</v>
      </c>
      <c r="W1033" s="3">
        <v>444.97</v>
      </c>
    </row>
    <row r="1034" spans="1:23" ht="36.75">
      <c r="A1034" s="3" t="s">
        <v>23</v>
      </c>
      <c r="B1034" s="3" t="s">
        <v>24</v>
      </c>
      <c r="C1034" s="3" t="s">
        <v>35</v>
      </c>
      <c r="D1034" s="3" t="s">
        <v>36</v>
      </c>
      <c r="E1034" s="3" t="s">
        <v>32</v>
      </c>
      <c r="F1034" s="3" t="s">
        <v>179</v>
      </c>
      <c r="G1034" s="3">
        <v>2016</v>
      </c>
      <c r="H1034" s="3" t="str">
        <f>CONCATENATE("64210421752")</f>
        <v>64210421752</v>
      </c>
      <c r="I1034" s="3" t="s">
        <v>25</v>
      </c>
      <c r="J1034" s="3" t="s">
        <v>26</v>
      </c>
      <c r="K1034" s="3" t="str">
        <f t="shared" si="36"/>
        <v/>
      </c>
      <c r="L1034" s="3" t="str">
        <f>CONCATENATE("13 13.1 4a")</f>
        <v>13 13.1 4a</v>
      </c>
      <c r="M1034" s="3" t="str">
        <f>CONCATENATE("00919810440")</f>
        <v>00919810440</v>
      </c>
      <c r="N1034" s="3" t="s">
        <v>1128</v>
      </c>
      <c r="O1034" s="3"/>
      <c r="P1034" s="4">
        <v>42783</v>
      </c>
      <c r="Q1034" s="3" t="s">
        <v>27</v>
      </c>
      <c r="R1034" s="3" t="s">
        <v>28</v>
      </c>
      <c r="S1034" s="3" t="s">
        <v>29</v>
      </c>
      <c r="T1034" s="5">
        <v>1906.04</v>
      </c>
      <c r="U1034" s="3">
        <v>821.88</v>
      </c>
      <c r="V1034" s="3">
        <v>758.99</v>
      </c>
      <c r="W1034" s="3">
        <v>325.17</v>
      </c>
    </row>
    <row r="1035" spans="1:23" ht="60.75">
      <c r="A1035" s="3" t="s">
        <v>23</v>
      </c>
      <c r="B1035" s="3" t="s">
        <v>24</v>
      </c>
      <c r="C1035" s="3" t="s">
        <v>35</v>
      </c>
      <c r="D1035" s="3" t="s">
        <v>43</v>
      </c>
      <c r="E1035" s="3" t="s">
        <v>33</v>
      </c>
      <c r="F1035" s="3" t="s">
        <v>122</v>
      </c>
      <c r="G1035" s="3">
        <v>2016</v>
      </c>
      <c r="H1035" s="3" t="str">
        <f>CONCATENATE("64240350823")</f>
        <v>64240350823</v>
      </c>
      <c r="I1035" s="3" t="s">
        <v>25</v>
      </c>
      <c r="J1035" s="3" t="s">
        <v>26</v>
      </c>
      <c r="K1035" s="3" t="str">
        <f t="shared" si="36"/>
        <v/>
      </c>
      <c r="L1035" s="3" t="str">
        <f>CONCATENATE("11 11.2 4b")</f>
        <v>11 11.2 4b</v>
      </c>
      <c r="M1035" s="3" t="str">
        <f>CONCATENATE("MNTFPP67L22E785N")</f>
        <v>MNTFPP67L22E785N</v>
      </c>
      <c r="N1035" s="3" t="s">
        <v>896</v>
      </c>
      <c r="O1035" s="3"/>
      <c r="P1035" s="4">
        <v>42783</v>
      </c>
      <c r="Q1035" s="3" t="s">
        <v>27</v>
      </c>
      <c r="R1035" s="3" t="s">
        <v>28</v>
      </c>
      <c r="S1035" s="3" t="s">
        <v>29</v>
      </c>
      <c r="T1035" s="5">
        <v>4509.1000000000004</v>
      </c>
      <c r="U1035" s="5">
        <v>1944.32</v>
      </c>
      <c r="V1035" s="5">
        <v>1795.52</v>
      </c>
      <c r="W1035" s="3">
        <v>769.26</v>
      </c>
    </row>
    <row r="1036" spans="1:23" ht="36.75">
      <c r="A1036" s="3" t="s">
        <v>23</v>
      </c>
      <c r="B1036" s="3" t="s">
        <v>24</v>
      </c>
      <c r="C1036" s="3" t="s">
        <v>35</v>
      </c>
      <c r="D1036" s="3" t="s">
        <v>48</v>
      </c>
      <c r="E1036" s="3" t="s">
        <v>42</v>
      </c>
      <c r="F1036" s="3" t="s">
        <v>42</v>
      </c>
      <c r="G1036" s="3">
        <v>2016</v>
      </c>
      <c r="H1036" s="3" t="str">
        <f>CONCATENATE("64240926390")</f>
        <v>64240926390</v>
      </c>
      <c r="I1036" s="3" t="s">
        <v>25</v>
      </c>
      <c r="J1036" s="3" t="s">
        <v>26</v>
      </c>
      <c r="K1036" s="3" t="str">
        <f t="shared" si="36"/>
        <v/>
      </c>
      <c r="L1036" s="3" t="str">
        <f>CONCATENATE("11 11.2 4b")</f>
        <v>11 11.2 4b</v>
      </c>
      <c r="M1036" s="3" t="str">
        <f>CONCATENATE("01297880435")</f>
        <v>01297880435</v>
      </c>
      <c r="N1036" s="3" t="s">
        <v>1129</v>
      </c>
      <c r="O1036" s="3"/>
      <c r="P1036" s="4">
        <v>42783</v>
      </c>
      <c r="Q1036" s="3" t="s">
        <v>27</v>
      </c>
      <c r="R1036" s="3" t="s">
        <v>28</v>
      </c>
      <c r="S1036" s="3" t="s">
        <v>29</v>
      </c>
      <c r="T1036" s="5">
        <v>20177.62</v>
      </c>
      <c r="U1036" s="5">
        <v>8700.59</v>
      </c>
      <c r="V1036" s="5">
        <v>8034.73</v>
      </c>
      <c r="W1036" s="5">
        <v>3442.3</v>
      </c>
    </row>
    <row r="1037" spans="1:23" ht="60.75">
      <c r="A1037" s="3" t="s">
        <v>23</v>
      </c>
      <c r="B1037" s="3" t="s">
        <v>24</v>
      </c>
      <c r="C1037" s="3" t="s">
        <v>35</v>
      </c>
      <c r="D1037" s="3" t="s">
        <v>48</v>
      </c>
      <c r="E1037" s="3" t="s">
        <v>30</v>
      </c>
      <c r="F1037" s="3" t="s">
        <v>91</v>
      </c>
      <c r="G1037" s="3">
        <v>2016</v>
      </c>
      <c r="H1037" s="3" t="str">
        <f>CONCATENATE("64210514754")</f>
        <v>64210514754</v>
      </c>
      <c r="I1037" s="3" t="s">
        <v>25</v>
      </c>
      <c r="J1037" s="3" t="s">
        <v>26</v>
      </c>
      <c r="K1037" s="3" t="str">
        <f t="shared" si="36"/>
        <v/>
      </c>
      <c r="L1037" s="3" t="str">
        <f>CONCATENATE("13 13.1 4a")</f>
        <v>13 13.1 4a</v>
      </c>
      <c r="M1037" s="3" t="str">
        <f>CONCATENATE("DMCRNT63T21A947A")</f>
        <v>DMCRNT63T21A947A</v>
      </c>
      <c r="N1037" s="3" t="s">
        <v>1130</v>
      </c>
      <c r="O1037" s="3"/>
      <c r="P1037" s="4">
        <v>42783</v>
      </c>
      <c r="Q1037" s="3" t="s">
        <v>27</v>
      </c>
      <c r="R1037" s="3" t="s">
        <v>28</v>
      </c>
      <c r="S1037" s="3" t="s">
        <v>29</v>
      </c>
      <c r="T1037" s="3">
        <v>658.05</v>
      </c>
      <c r="U1037" s="3">
        <v>283.75</v>
      </c>
      <c r="V1037" s="3">
        <v>262.04000000000002</v>
      </c>
      <c r="W1037" s="3">
        <v>112.26</v>
      </c>
    </row>
    <row r="1038" spans="1:23" ht="72.75">
      <c r="A1038" s="3" t="s">
        <v>23</v>
      </c>
      <c r="B1038" s="3" t="s">
        <v>24</v>
      </c>
      <c r="C1038" s="3" t="s">
        <v>35</v>
      </c>
      <c r="D1038" s="3" t="s">
        <v>43</v>
      </c>
      <c r="E1038" s="3" t="s">
        <v>30</v>
      </c>
      <c r="F1038" s="3" t="s">
        <v>104</v>
      </c>
      <c r="G1038" s="3">
        <v>2016</v>
      </c>
      <c r="H1038" s="3" t="str">
        <f>CONCATENATE("64240331088")</f>
        <v>64240331088</v>
      </c>
      <c r="I1038" s="3" t="s">
        <v>25</v>
      </c>
      <c r="J1038" s="3" t="s">
        <v>26</v>
      </c>
      <c r="K1038" s="3" t="str">
        <f t="shared" si="36"/>
        <v/>
      </c>
      <c r="L1038" s="3" t="str">
        <f>CONCATENATE("11 11.2 4b")</f>
        <v>11 11.2 4b</v>
      </c>
      <c r="M1038" s="3" t="str">
        <f>CONCATENATE("RMGMLE63H25L500A")</f>
        <v>RMGMLE63H25L500A</v>
      </c>
      <c r="N1038" s="3" t="s">
        <v>1131</v>
      </c>
      <c r="O1038" s="3"/>
      <c r="P1038" s="4">
        <v>42783</v>
      </c>
      <c r="Q1038" s="3" t="s">
        <v>27</v>
      </c>
      <c r="R1038" s="3" t="s">
        <v>28</v>
      </c>
      <c r="S1038" s="3" t="s">
        <v>29</v>
      </c>
      <c r="T1038" s="5">
        <v>23138.61</v>
      </c>
      <c r="U1038" s="5">
        <v>9977.3700000000008</v>
      </c>
      <c r="V1038" s="5">
        <v>9213.7900000000009</v>
      </c>
      <c r="W1038" s="5">
        <v>3947.45</v>
      </c>
    </row>
    <row r="1039" spans="1:23" ht="60.75">
      <c r="A1039" s="3" t="s">
        <v>23</v>
      </c>
      <c r="B1039" s="3" t="s">
        <v>24</v>
      </c>
      <c r="C1039" s="3" t="s">
        <v>35</v>
      </c>
      <c r="D1039" s="3" t="s">
        <v>48</v>
      </c>
      <c r="E1039" s="3" t="s">
        <v>49</v>
      </c>
      <c r="F1039" s="3" t="s">
        <v>80</v>
      </c>
      <c r="G1039" s="3">
        <v>2016</v>
      </c>
      <c r="H1039" s="3" t="str">
        <f>CONCATENATE("64240260949")</f>
        <v>64240260949</v>
      </c>
      <c r="I1039" s="3" t="s">
        <v>25</v>
      </c>
      <c r="J1039" s="3" t="s">
        <v>26</v>
      </c>
      <c r="K1039" s="3" t="str">
        <f t="shared" si="36"/>
        <v/>
      </c>
      <c r="L1039" s="3" t="str">
        <f>CONCATENATE("11 11.2 4b")</f>
        <v>11 11.2 4b</v>
      </c>
      <c r="M1039" s="3" t="str">
        <f>CONCATENATE("CRRSMN78S09F051S")</f>
        <v>CRRSMN78S09F051S</v>
      </c>
      <c r="N1039" s="3" t="s">
        <v>1132</v>
      </c>
      <c r="O1039" s="3"/>
      <c r="P1039" s="4">
        <v>42783</v>
      </c>
      <c r="Q1039" s="3" t="s">
        <v>27</v>
      </c>
      <c r="R1039" s="3" t="s">
        <v>28</v>
      </c>
      <c r="S1039" s="3" t="s">
        <v>29</v>
      </c>
      <c r="T1039" s="5">
        <v>7080.76</v>
      </c>
      <c r="U1039" s="5">
        <v>3053.22</v>
      </c>
      <c r="V1039" s="5">
        <v>2819.56</v>
      </c>
      <c r="W1039" s="5">
        <v>1207.98</v>
      </c>
    </row>
    <row r="1040" spans="1:23" ht="72.75">
      <c r="A1040" s="3" t="s">
        <v>23</v>
      </c>
      <c r="B1040" s="3" t="s">
        <v>24</v>
      </c>
      <c r="C1040" s="3" t="s">
        <v>35</v>
      </c>
      <c r="D1040" s="3" t="s">
        <v>39</v>
      </c>
      <c r="E1040" s="3" t="s">
        <v>30</v>
      </c>
      <c r="F1040" s="3" t="s">
        <v>40</v>
      </c>
      <c r="G1040" s="3">
        <v>2016</v>
      </c>
      <c r="H1040" s="3" t="str">
        <f>CONCATENATE("64240529558")</f>
        <v>64240529558</v>
      </c>
      <c r="I1040" s="3" t="s">
        <v>25</v>
      </c>
      <c r="J1040" s="3" t="s">
        <v>26</v>
      </c>
      <c r="K1040" s="3" t="str">
        <f t="shared" si="36"/>
        <v/>
      </c>
      <c r="L1040" s="3" t="str">
        <f>CONCATENATE("11 11.2 4b")</f>
        <v>11 11.2 4b</v>
      </c>
      <c r="M1040" s="3" t="str">
        <f>CONCATENATE("GDCMNG69M54D007I")</f>
        <v>GDCMNG69M54D007I</v>
      </c>
      <c r="N1040" s="3" t="s">
        <v>1133</v>
      </c>
      <c r="O1040" s="3"/>
      <c r="P1040" s="4">
        <v>42783</v>
      </c>
      <c r="Q1040" s="3" t="s">
        <v>27</v>
      </c>
      <c r="R1040" s="3" t="s">
        <v>28</v>
      </c>
      <c r="S1040" s="3" t="s">
        <v>29</v>
      </c>
      <c r="T1040" s="5">
        <v>6335.28</v>
      </c>
      <c r="U1040" s="5">
        <v>2731.77</v>
      </c>
      <c r="V1040" s="5">
        <v>2522.71</v>
      </c>
      <c r="W1040" s="5">
        <v>1080.8</v>
      </c>
    </row>
    <row r="1041" spans="1:23" ht="60.75">
      <c r="A1041" s="3" t="s">
        <v>23</v>
      </c>
      <c r="B1041" s="3" t="s">
        <v>24</v>
      </c>
      <c r="C1041" s="3" t="s">
        <v>35</v>
      </c>
      <c r="D1041" s="3" t="s">
        <v>43</v>
      </c>
      <c r="E1041" s="3" t="s">
        <v>30</v>
      </c>
      <c r="F1041" s="3" t="s">
        <v>76</v>
      </c>
      <c r="G1041" s="3">
        <v>2016</v>
      </c>
      <c r="H1041" s="3" t="str">
        <f>CONCATENATE("64240421301")</f>
        <v>64240421301</v>
      </c>
      <c r="I1041" s="3" t="s">
        <v>25</v>
      </c>
      <c r="J1041" s="3" t="s">
        <v>26</v>
      </c>
      <c r="K1041" s="3" t="str">
        <f t="shared" si="36"/>
        <v/>
      </c>
      <c r="L1041" s="3" t="str">
        <f>CONCATENATE("11 11.1 4b")</f>
        <v>11 11.1 4b</v>
      </c>
      <c r="M1041" s="3" t="str">
        <f>CONCATENATE("PRZLRA60T43B352Q")</f>
        <v>PRZLRA60T43B352Q</v>
      </c>
      <c r="N1041" s="3" t="s">
        <v>1134</v>
      </c>
      <c r="O1041" s="3"/>
      <c r="P1041" s="4">
        <v>42783</v>
      </c>
      <c r="Q1041" s="3" t="s">
        <v>27</v>
      </c>
      <c r="R1041" s="3" t="s">
        <v>28</v>
      </c>
      <c r="S1041" s="3" t="s">
        <v>29</v>
      </c>
      <c r="T1041" s="5">
        <v>5320.38</v>
      </c>
      <c r="U1041" s="5">
        <v>2294.15</v>
      </c>
      <c r="V1041" s="5">
        <v>2118.58</v>
      </c>
      <c r="W1041" s="3">
        <v>907.65</v>
      </c>
    </row>
    <row r="1042" spans="1:23" ht="60.75">
      <c r="A1042" s="3" t="s">
        <v>23</v>
      </c>
      <c r="B1042" s="3" t="s">
        <v>24</v>
      </c>
      <c r="C1042" s="3" t="s">
        <v>35</v>
      </c>
      <c r="D1042" s="3" t="s">
        <v>39</v>
      </c>
      <c r="E1042" s="3" t="s">
        <v>32</v>
      </c>
      <c r="F1042" s="3" t="s">
        <v>215</v>
      </c>
      <c r="G1042" s="3">
        <v>2016</v>
      </c>
      <c r="H1042" s="3" t="str">
        <f>CONCATENATE("64240837811")</f>
        <v>64240837811</v>
      </c>
      <c r="I1042" s="3" t="s">
        <v>25</v>
      </c>
      <c r="J1042" s="3" t="s">
        <v>26</v>
      </c>
      <c r="K1042" s="3" t="str">
        <f t="shared" si="36"/>
        <v/>
      </c>
      <c r="L1042" s="3" t="str">
        <f>CONCATENATE("10 10.1 4a")</f>
        <v>10 10.1 4a</v>
      </c>
      <c r="M1042" s="3" t="str">
        <f>CONCATENATE("RLNSLV77S66E388V")</f>
        <v>RLNSLV77S66E388V</v>
      </c>
      <c r="N1042" s="3" t="s">
        <v>1135</v>
      </c>
      <c r="O1042" s="3"/>
      <c r="P1042" s="4">
        <v>42783</v>
      </c>
      <c r="Q1042" s="3" t="s">
        <v>27</v>
      </c>
      <c r="R1042" s="3" t="s">
        <v>28</v>
      </c>
      <c r="S1042" s="3" t="s">
        <v>29</v>
      </c>
      <c r="T1042" s="3">
        <v>140.22</v>
      </c>
      <c r="U1042" s="3">
        <v>60.46</v>
      </c>
      <c r="V1042" s="3">
        <v>55.84</v>
      </c>
      <c r="W1042" s="3">
        <v>23.92</v>
      </c>
    </row>
    <row r="1043" spans="1:23" ht="60.75">
      <c r="A1043" s="3" t="s">
        <v>23</v>
      </c>
      <c r="B1043" s="3" t="s">
        <v>24</v>
      </c>
      <c r="C1043" s="3" t="s">
        <v>35</v>
      </c>
      <c r="D1043" s="3" t="s">
        <v>48</v>
      </c>
      <c r="E1043" s="3" t="s">
        <v>32</v>
      </c>
      <c r="F1043" s="3" t="s">
        <v>129</v>
      </c>
      <c r="G1043" s="3">
        <v>2016</v>
      </c>
      <c r="H1043" s="3" t="str">
        <f>CONCATENATE("64240301123")</f>
        <v>64240301123</v>
      </c>
      <c r="I1043" s="3" t="s">
        <v>25</v>
      </c>
      <c r="J1043" s="3" t="s">
        <v>26</v>
      </c>
      <c r="K1043" s="3" t="str">
        <f t="shared" si="36"/>
        <v/>
      </c>
      <c r="L1043" s="3" t="str">
        <f>CONCATENATE("11 11.2 4b")</f>
        <v>11 11.2 4b</v>
      </c>
      <c r="M1043" s="3" t="str">
        <f>CONCATENATE("FCCNGL40C63L366V")</f>
        <v>FCCNGL40C63L366V</v>
      </c>
      <c r="N1043" s="3" t="s">
        <v>1136</v>
      </c>
      <c r="O1043" s="3"/>
      <c r="P1043" s="4">
        <v>42783</v>
      </c>
      <c r="Q1043" s="3" t="s">
        <v>27</v>
      </c>
      <c r="R1043" s="3" t="s">
        <v>28</v>
      </c>
      <c r="S1043" s="3" t="s">
        <v>29</v>
      </c>
      <c r="T1043" s="5">
        <v>1059.5899999999999</v>
      </c>
      <c r="U1043" s="3">
        <v>456.9</v>
      </c>
      <c r="V1043" s="3">
        <v>421.93</v>
      </c>
      <c r="W1043" s="3">
        <v>180.76</v>
      </c>
    </row>
    <row r="1044" spans="1:23" ht="60.75">
      <c r="A1044" s="3" t="s">
        <v>23</v>
      </c>
      <c r="B1044" s="3" t="s">
        <v>24</v>
      </c>
      <c r="C1044" s="3" t="s">
        <v>35</v>
      </c>
      <c r="D1044" s="3" t="s">
        <v>36</v>
      </c>
      <c r="E1044" s="3" t="s">
        <v>30</v>
      </c>
      <c r="F1044" s="3" t="s">
        <v>257</v>
      </c>
      <c r="G1044" s="3">
        <v>2016</v>
      </c>
      <c r="H1044" s="3" t="str">
        <f>CONCATENATE("64240668364")</f>
        <v>64240668364</v>
      </c>
      <c r="I1044" s="3" t="s">
        <v>25</v>
      </c>
      <c r="J1044" s="3" t="s">
        <v>26</v>
      </c>
      <c r="K1044" s="3" t="str">
        <f t="shared" si="36"/>
        <v/>
      </c>
      <c r="L1044" s="3" t="str">
        <f>CONCATENATE("11 11.1 4b")</f>
        <v>11 11.1 4b</v>
      </c>
      <c r="M1044" s="3" t="str">
        <f>CONCATENATE("PRNFNC89A66F522M")</f>
        <v>PRNFNC89A66F522M</v>
      </c>
      <c r="N1044" s="3" t="s">
        <v>1137</v>
      </c>
      <c r="O1044" s="3"/>
      <c r="P1044" s="4">
        <v>42783</v>
      </c>
      <c r="Q1044" s="3" t="s">
        <v>27</v>
      </c>
      <c r="R1044" s="3" t="s">
        <v>28</v>
      </c>
      <c r="S1044" s="3" t="s">
        <v>29</v>
      </c>
      <c r="T1044" s="5">
        <v>3343.64</v>
      </c>
      <c r="U1044" s="5">
        <v>1441.78</v>
      </c>
      <c r="V1044" s="5">
        <v>1331.44</v>
      </c>
      <c r="W1044" s="3">
        <v>570.41999999999996</v>
      </c>
    </row>
    <row r="1045" spans="1:23" ht="60.75">
      <c r="A1045" s="3" t="s">
        <v>23</v>
      </c>
      <c r="B1045" s="3" t="s">
        <v>24</v>
      </c>
      <c r="C1045" s="3" t="s">
        <v>35</v>
      </c>
      <c r="D1045" s="3" t="s">
        <v>43</v>
      </c>
      <c r="E1045" s="3" t="s">
        <v>30</v>
      </c>
      <c r="F1045" s="3" t="s">
        <v>113</v>
      </c>
      <c r="G1045" s="3">
        <v>2016</v>
      </c>
      <c r="H1045" s="3" t="str">
        <f>CONCATENATE("64240705232")</f>
        <v>64240705232</v>
      </c>
      <c r="I1045" s="3" t="s">
        <v>25</v>
      </c>
      <c r="J1045" s="3" t="s">
        <v>26</v>
      </c>
      <c r="K1045" s="3" t="str">
        <f t="shared" si="36"/>
        <v/>
      </c>
      <c r="L1045" s="3" t="str">
        <f>CONCATENATE("11 11.1 4b")</f>
        <v>11 11.1 4b</v>
      </c>
      <c r="M1045" s="3" t="str">
        <f>CONCATENATE("FLVFNC72S09B352B")</f>
        <v>FLVFNC72S09B352B</v>
      </c>
      <c r="N1045" s="3" t="s">
        <v>1138</v>
      </c>
      <c r="O1045" s="3"/>
      <c r="P1045" s="4">
        <v>42783</v>
      </c>
      <c r="Q1045" s="3" t="s">
        <v>27</v>
      </c>
      <c r="R1045" s="3" t="s">
        <v>28</v>
      </c>
      <c r="S1045" s="3" t="s">
        <v>29</v>
      </c>
      <c r="T1045" s="5">
        <v>2355.5</v>
      </c>
      <c r="U1045" s="5">
        <v>1015.69</v>
      </c>
      <c r="V1045" s="3">
        <v>937.96</v>
      </c>
      <c r="W1045" s="3">
        <v>401.85</v>
      </c>
    </row>
    <row r="1046" spans="1:23" ht="60.75">
      <c r="A1046" s="3" t="s">
        <v>23</v>
      </c>
      <c r="B1046" s="3" t="s">
        <v>24</v>
      </c>
      <c r="C1046" s="3" t="s">
        <v>35</v>
      </c>
      <c r="D1046" s="3" t="s">
        <v>43</v>
      </c>
      <c r="E1046" s="3" t="s">
        <v>30</v>
      </c>
      <c r="F1046" s="3" t="s">
        <v>131</v>
      </c>
      <c r="G1046" s="3">
        <v>2016</v>
      </c>
      <c r="H1046" s="3" t="str">
        <f>CONCATENATE("64240781852")</f>
        <v>64240781852</v>
      </c>
      <c r="I1046" s="3" t="s">
        <v>25</v>
      </c>
      <c r="J1046" s="3" t="s">
        <v>26</v>
      </c>
      <c r="K1046" s="3" t="str">
        <f t="shared" si="36"/>
        <v/>
      </c>
      <c r="L1046" s="3" t="str">
        <f>CONCATENATE("11 11.2 4b")</f>
        <v>11 11.2 4b</v>
      </c>
      <c r="M1046" s="3" t="str">
        <f>CONCATENATE("CMSTNN53P02D749U")</f>
        <v>CMSTNN53P02D749U</v>
      </c>
      <c r="N1046" s="3" t="s">
        <v>1139</v>
      </c>
      <c r="O1046" s="3"/>
      <c r="P1046" s="4">
        <v>42783</v>
      </c>
      <c r="Q1046" s="3" t="s">
        <v>27</v>
      </c>
      <c r="R1046" s="3" t="s">
        <v>28</v>
      </c>
      <c r="S1046" s="3" t="s">
        <v>29</v>
      </c>
      <c r="T1046" s="5">
        <v>2174.85</v>
      </c>
      <c r="U1046" s="3">
        <v>937.8</v>
      </c>
      <c r="V1046" s="3">
        <v>866.03</v>
      </c>
      <c r="W1046" s="3">
        <v>371.02</v>
      </c>
    </row>
    <row r="1047" spans="1:23" ht="60.75">
      <c r="A1047" s="3" t="s">
        <v>23</v>
      </c>
      <c r="B1047" s="3" t="s">
        <v>24</v>
      </c>
      <c r="C1047" s="3" t="s">
        <v>35</v>
      </c>
      <c r="D1047" s="3" t="s">
        <v>43</v>
      </c>
      <c r="E1047" s="3" t="s">
        <v>30</v>
      </c>
      <c r="F1047" s="3" t="s">
        <v>104</v>
      </c>
      <c r="G1047" s="3">
        <v>2016</v>
      </c>
      <c r="H1047" s="3" t="str">
        <f>CONCATENATE("64210532665")</f>
        <v>64210532665</v>
      </c>
      <c r="I1047" s="3" t="s">
        <v>25</v>
      </c>
      <c r="J1047" s="3" t="s">
        <v>26</v>
      </c>
      <c r="K1047" s="3" t="str">
        <f t="shared" si="36"/>
        <v/>
      </c>
      <c r="L1047" s="3" t="str">
        <f>CONCATENATE("13 13.1 4a")</f>
        <v>13 13.1 4a</v>
      </c>
      <c r="M1047" s="3" t="str">
        <f>CONCATENATE("DRNLNE58L52A035B")</f>
        <v>DRNLNE58L52A035B</v>
      </c>
      <c r="N1047" s="3" t="s">
        <v>882</v>
      </c>
      <c r="O1047" s="3"/>
      <c r="P1047" s="4">
        <v>42783</v>
      </c>
      <c r="Q1047" s="3" t="s">
        <v>27</v>
      </c>
      <c r="R1047" s="3" t="s">
        <v>28</v>
      </c>
      <c r="S1047" s="3" t="s">
        <v>29</v>
      </c>
      <c r="T1047" s="5">
        <v>2291.89</v>
      </c>
      <c r="U1047" s="3">
        <v>988.26</v>
      </c>
      <c r="V1047" s="3">
        <v>912.63</v>
      </c>
      <c r="W1047" s="3">
        <v>391</v>
      </c>
    </row>
    <row r="1048" spans="1:23" ht="36.75">
      <c r="A1048" s="3" t="s">
        <v>23</v>
      </c>
      <c r="B1048" s="3" t="s">
        <v>24</v>
      </c>
      <c r="C1048" s="3" t="s">
        <v>35</v>
      </c>
      <c r="D1048" s="3" t="s">
        <v>48</v>
      </c>
      <c r="E1048" s="3" t="s">
        <v>30</v>
      </c>
      <c r="F1048" s="3" t="s">
        <v>157</v>
      </c>
      <c r="G1048" s="3">
        <v>2016</v>
      </c>
      <c r="H1048" s="3" t="str">
        <f>CONCATENATE("64210405714")</f>
        <v>64210405714</v>
      </c>
      <c r="I1048" s="3" t="s">
        <v>25</v>
      </c>
      <c r="J1048" s="3" t="s">
        <v>26</v>
      </c>
      <c r="K1048" s="3" t="str">
        <f t="shared" si="36"/>
        <v/>
      </c>
      <c r="L1048" s="3" t="str">
        <f>CONCATENATE("13 13.1 4a")</f>
        <v>13 13.1 4a</v>
      </c>
      <c r="M1048" s="3" t="str">
        <f>CONCATENATE("01914550437")</f>
        <v>01914550437</v>
      </c>
      <c r="N1048" s="3" t="s">
        <v>1140</v>
      </c>
      <c r="O1048" s="3"/>
      <c r="P1048" s="4">
        <v>42783</v>
      </c>
      <c r="Q1048" s="3" t="s">
        <v>27</v>
      </c>
      <c r="R1048" s="3" t="s">
        <v>28</v>
      </c>
      <c r="S1048" s="3" t="s">
        <v>29</v>
      </c>
      <c r="T1048" s="5">
        <v>4590</v>
      </c>
      <c r="U1048" s="5">
        <v>1979.21</v>
      </c>
      <c r="V1048" s="5">
        <v>1827.74</v>
      </c>
      <c r="W1048" s="3">
        <v>783.05</v>
      </c>
    </row>
    <row r="1049" spans="1:23" ht="60.75">
      <c r="A1049" s="3" t="s">
        <v>23</v>
      </c>
      <c r="B1049" s="3" t="s">
        <v>24</v>
      </c>
      <c r="C1049" s="3" t="s">
        <v>35</v>
      </c>
      <c r="D1049" s="3" t="s">
        <v>36</v>
      </c>
      <c r="E1049" s="3" t="s">
        <v>59</v>
      </c>
      <c r="F1049" s="3" t="s">
        <v>62</v>
      </c>
      <c r="G1049" s="3">
        <v>2016</v>
      </c>
      <c r="H1049" s="3" t="str">
        <f>CONCATENATE("64240546982")</f>
        <v>64240546982</v>
      </c>
      <c r="I1049" s="3" t="s">
        <v>25</v>
      </c>
      <c r="J1049" s="3" t="s">
        <v>26</v>
      </c>
      <c r="K1049" s="3" t="str">
        <f t="shared" si="36"/>
        <v/>
      </c>
      <c r="L1049" s="3" t="str">
        <f>CONCATENATE("10 10.1 4b")</f>
        <v>10 10.1 4b</v>
      </c>
      <c r="M1049" s="3" t="str">
        <f>CONCATENATE("NCCLCN81S30H769N")</f>
        <v>NCCLCN81S30H769N</v>
      </c>
      <c r="N1049" s="3" t="s">
        <v>1141</v>
      </c>
      <c r="O1049" s="3"/>
      <c r="P1049" s="4">
        <v>42783</v>
      </c>
      <c r="Q1049" s="3" t="s">
        <v>27</v>
      </c>
      <c r="R1049" s="3" t="s">
        <v>28</v>
      </c>
      <c r="S1049" s="3" t="s">
        <v>29</v>
      </c>
      <c r="T1049" s="5">
        <v>6064.97</v>
      </c>
      <c r="U1049" s="5">
        <v>2615.2199999999998</v>
      </c>
      <c r="V1049" s="5">
        <v>2415.0700000000002</v>
      </c>
      <c r="W1049" s="5">
        <v>1034.68</v>
      </c>
    </row>
    <row r="1050" spans="1:23" ht="72.75">
      <c r="A1050" s="3" t="s">
        <v>23</v>
      </c>
      <c r="B1050" s="3" t="s">
        <v>24</v>
      </c>
      <c r="C1050" s="3" t="s">
        <v>35</v>
      </c>
      <c r="D1050" s="3" t="s">
        <v>36</v>
      </c>
      <c r="E1050" s="3" t="s">
        <v>32</v>
      </c>
      <c r="F1050" s="3" t="s">
        <v>208</v>
      </c>
      <c r="G1050" s="3">
        <v>2016</v>
      </c>
      <c r="H1050" s="3" t="str">
        <f>CONCATENATE("64240302501")</f>
        <v>64240302501</v>
      </c>
      <c r="I1050" s="3" t="s">
        <v>25</v>
      </c>
      <c r="J1050" s="3" t="s">
        <v>26</v>
      </c>
      <c r="K1050" s="3" t="str">
        <f t="shared" si="36"/>
        <v/>
      </c>
      <c r="L1050" s="3" t="str">
        <f>CONCATENATE("11 11.2 4b")</f>
        <v>11 11.2 4b</v>
      </c>
      <c r="M1050" s="3" t="str">
        <f>CONCATENATE("MRANMR53B52A462A")</f>
        <v>MRANMR53B52A462A</v>
      </c>
      <c r="N1050" s="3" t="s">
        <v>1142</v>
      </c>
      <c r="O1050" s="3"/>
      <c r="P1050" s="4">
        <v>42783</v>
      </c>
      <c r="Q1050" s="3" t="s">
        <v>27</v>
      </c>
      <c r="R1050" s="3" t="s">
        <v>28</v>
      </c>
      <c r="S1050" s="3" t="s">
        <v>29</v>
      </c>
      <c r="T1050" s="5">
        <v>1300.75</v>
      </c>
      <c r="U1050" s="3">
        <v>560.88</v>
      </c>
      <c r="V1050" s="3">
        <v>517.96</v>
      </c>
      <c r="W1050" s="3">
        <v>221.91</v>
      </c>
    </row>
    <row r="1051" spans="1:23" ht="60.75">
      <c r="A1051" s="3" t="s">
        <v>23</v>
      </c>
      <c r="B1051" s="3" t="s">
        <v>24</v>
      </c>
      <c r="C1051" s="3" t="s">
        <v>35</v>
      </c>
      <c r="D1051" s="3" t="s">
        <v>39</v>
      </c>
      <c r="E1051" s="3" t="s">
        <v>59</v>
      </c>
      <c r="F1051" s="3" t="s">
        <v>457</v>
      </c>
      <c r="G1051" s="3">
        <v>2016</v>
      </c>
      <c r="H1051" s="3" t="str">
        <f>CONCATENATE("64240458204")</f>
        <v>64240458204</v>
      </c>
      <c r="I1051" s="3" t="s">
        <v>25</v>
      </c>
      <c r="J1051" s="3" t="s">
        <v>26</v>
      </c>
      <c r="K1051" s="3" t="str">
        <f t="shared" si="36"/>
        <v/>
      </c>
      <c r="L1051" s="3" t="str">
        <f>CONCATENATE("11 11.1 4b")</f>
        <v>11 11.1 4b</v>
      </c>
      <c r="M1051" s="3" t="str">
        <f>CONCATENATE("BLDLSN88B51E690L")</f>
        <v>BLDLSN88B51E690L</v>
      </c>
      <c r="N1051" s="3" t="s">
        <v>1143</v>
      </c>
      <c r="O1051" s="3"/>
      <c r="P1051" s="4">
        <v>42783</v>
      </c>
      <c r="Q1051" s="3" t="s">
        <v>27</v>
      </c>
      <c r="R1051" s="3" t="s">
        <v>28</v>
      </c>
      <c r="S1051" s="3" t="s">
        <v>29</v>
      </c>
      <c r="T1051" s="5">
        <v>4630.6499999999996</v>
      </c>
      <c r="U1051" s="5">
        <v>1996.74</v>
      </c>
      <c r="V1051" s="5">
        <v>1843.92</v>
      </c>
      <c r="W1051" s="3">
        <v>789.99</v>
      </c>
    </row>
    <row r="1052" spans="1:23" ht="36.75">
      <c r="A1052" s="3" t="s">
        <v>23</v>
      </c>
      <c r="B1052" s="3" t="s">
        <v>24</v>
      </c>
      <c r="C1052" s="3" t="s">
        <v>35</v>
      </c>
      <c r="D1052" s="3" t="s">
        <v>36</v>
      </c>
      <c r="E1052" s="3" t="s">
        <v>30</v>
      </c>
      <c r="F1052" s="3" t="s">
        <v>37</v>
      </c>
      <c r="G1052" s="3">
        <v>2016</v>
      </c>
      <c r="H1052" s="3" t="str">
        <f>CONCATENATE("64210801573")</f>
        <v>64210801573</v>
      </c>
      <c r="I1052" s="3" t="s">
        <v>25</v>
      </c>
      <c r="J1052" s="3" t="s">
        <v>26</v>
      </c>
      <c r="K1052" s="3" t="str">
        <f t="shared" si="36"/>
        <v/>
      </c>
      <c r="L1052" s="3" t="str">
        <f>CONCATENATE("13 13.1 4a")</f>
        <v>13 13.1 4a</v>
      </c>
      <c r="M1052" s="3" t="str">
        <f>CONCATENATE("01569470444")</f>
        <v>01569470444</v>
      </c>
      <c r="N1052" s="3" t="s">
        <v>1144</v>
      </c>
      <c r="O1052" s="3"/>
      <c r="P1052" s="4">
        <v>42783</v>
      </c>
      <c r="Q1052" s="3" t="s">
        <v>27</v>
      </c>
      <c r="R1052" s="3" t="s">
        <v>28</v>
      </c>
      <c r="S1052" s="3" t="s">
        <v>29</v>
      </c>
      <c r="T1052" s="5">
        <v>3607.97</v>
      </c>
      <c r="U1052" s="5">
        <v>1555.76</v>
      </c>
      <c r="V1052" s="5">
        <v>1436.69</v>
      </c>
      <c r="W1052" s="3">
        <v>615.52</v>
      </c>
    </row>
    <row r="1053" spans="1:23" ht="60.75">
      <c r="A1053" s="3" t="s">
        <v>23</v>
      </c>
      <c r="B1053" s="3" t="s">
        <v>24</v>
      </c>
      <c r="C1053" s="3" t="s">
        <v>35</v>
      </c>
      <c r="D1053" s="3" t="s">
        <v>43</v>
      </c>
      <c r="E1053" s="3" t="s">
        <v>32</v>
      </c>
      <c r="F1053" s="3" t="s">
        <v>78</v>
      </c>
      <c r="G1053" s="3">
        <v>2016</v>
      </c>
      <c r="H1053" s="3" t="str">
        <f>CONCATENATE("64240582326")</f>
        <v>64240582326</v>
      </c>
      <c r="I1053" s="3" t="s">
        <v>25</v>
      </c>
      <c r="J1053" s="3" t="s">
        <v>26</v>
      </c>
      <c r="K1053" s="3" t="str">
        <f t="shared" si="36"/>
        <v/>
      </c>
      <c r="L1053" s="3" t="str">
        <f>CONCATENATE("11 11.2 4b")</f>
        <v>11 11.2 4b</v>
      </c>
      <c r="M1053" s="3" t="str">
        <f>CONCATENATE("CGRNNA51E42A978B")</f>
        <v>CGRNNA51E42A978B</v>
      </c>
      <c r="N1053" s="3" t="s">
        <v>1101</v>
      </c>
      <c r="O1053" s="3"/>
      <c r="P1053" s="4">
        <v>42783</v>
      </c>
      <c r="Q1053" s="3" t="s">
        <v>27</v>
      </c>
      <c r="R1053" s="3" t="s">
        <v>28</v>
      </c>
      <c r="S1053" s="3" t="s">
        <v>29</v>
      </c>
      <c r="T1053" s="5">
        <v>1411.43</v>
      </c>
      <c r="U1053" s="3">
        <v>608.61</v>
      </c>
      <c r="V1053" s="3">
        <v>562.03</v>
      </c>
      <c r="W1053" s="3">
        <v>240.79</v>
      </c>
    </row>
    <row r="1054" spans="1:23" ht="60.75">
      <c r="A1054" s="3" t="s">
        <v>23</v>
      </c>
      <c r="B1054" s="3" t="s">
        <v>24</v>
      </c>
      <c r="C1054" s="3" t="s">
        <v>35</v>
      </c>
      <c r="D1054" s="3" t="s">
        <v>48</v>
      </c>
      <c r="E1054" s="3" t="s">
        <v>30</v>
      </c>
      <c r="F1054" s="3" t="s">
        <v>91</v>
      </c>
      <c r="G1054" s="3">
        <v>2016</v>
      </c>
      <c r="H1054" s="3" t="str">
        <f>CONCATENATE("64210522013")</f>
        <v>64210522013</v>
      </c>
      <c r="I1054" s="3" t="s">
        <v>25</v>
      </c>
      <c r="J1054" s="3" t="s">
        <v>26</v>
      </c>
      <c r="K1054" s="3" t="str">
        <f t="shared" si="36"/>
        <v/>
      </c>
      <c r="L1054" s="3" t="str">
        <f>CONCATENATE("13 13.1 4a")</f>
        <v>13 13.1 4a</v>
      </c>
      <c r="M1054" s="3" t="str">
        <f>CONCATENATE("MZZGLN63L21D628W")</f>
        <v>MZZGLN63L21D628W</v>
      </c>
      <c r="N1054" s="3" t="s">
        <v>1145</v>
      </c>
      <c r="O1054" s="3"/>
      <c r="P1054" s="4">
        <v>42783</v>
      </c>
      <c r="Q1054" s="3" t="s">
        <v>27</v>
      </c>
      <c r="R1054" s="3" t="s">
        <v>28</v>
      </c>
      <c r="S1054" s="3" t="s">
        <v>29</v>
      </c>
      <c r="T1054" s="3">
        <v>424.49</v>
      </c>
      <c r="U1054" s="3">
        <v>183.04</v>
      </c>
      <c r="V1054" s="3">
        <v>169.03</v>
      </c>
      <c r="W1054" s="3">
        <v>72.42</v>
      </c>
    </row>
    <row r="1055" spans="1:23" ht="60.75">
      <c r="A1055" s="3" t="s">
        <v>23</v>
      </c>
      <c r="B1055" s="3" t="s">
        <v>24</v>
      </c>
      <c r="C1055" s="3" t="s">
        <v>35</v>
      </c>
      <c r="D1055" s="3" t="s">
        <v>36</v>
      </c>
      <c r="E1055" s="3" t="s">
        <v>33</v>
      </c>
      <c r="F1055" s="3" t="s">
        <v>95</v>
      </c>
      <c r="G1055" s="3">
        <v>2016</v>
      </c>
      <c r="H1055" s="3" t="str">
        <f>CONCATENATE("64240450482")</f>
        <v>64240450482</v>
      </c>
      <c r="I1055" s="3" t="s">
        <v>25</v>
      </c>
      <c r="J1055" s="3" t="s">
        <v>26</v>
      </c>
      <c r="K1055" s="3" t="str">
        <f t="shared" si="36"/>
        <v/>
      </c>
      <c r="L1055" s="3" t="str">
        <f>CONCATENATE("11 11.2 4b")</f>
        <v>11 11.2 4b</v>
      </c>
      <c r="M1055" s="3" t="str">
        <f>CONCATENATE("CTNGPP81P15F522A")</f>
        <v>CTNGPP81P15F522A</v>
      </c>
      <c r="N1055" s="3" t="s">
        <v>1146</v>
      </c>
      <c r="O1055" s="3"/>
      <c r="P1055" s="4">
        <v>42783</v>
      </c>
      <c r="Q1055" s="3" t="s">
        <v>27</v>
      </c>
      <c r="R1055" s="3" t="s">
        <v>28</v>
      </c>
      <c r="S1055" s="3" t="s">
        <v>29</v>
      </c>
      <c r="T1055" s="5">
        <v>3872.06</v>
      </c>
      <c r="U1055" s="5">
        <v>1669.63</v>
      </c>
      <c r="V1055" s="5">
        <v>1541.85</v>
      </c>
      <c r="W1055" s="3">
        <v>660.58</v>
      </c>
    </row>
    <row r="1056" spans="1:23" ht="60.75">
      <c r="A1056" s="3" t="s">
        <v>23</v>
      </c>
      <c r="B1056" s="3" t="s">
        <v>24</v>
      </c>
      <c r="C1056" s="3" t="s">
        <v>35</v>
      </c>
      <c r="D1056" s="3" t="s">
        <v>48</v>
      </c>
      <c r="E1056" s="3" t="s">
        <v>30</v>
      </c>
      <c r="F1056" s="3" t="s">
        <v>91</v>
      </c>
      <c r="G1056" s="3">
        <v>2016</v>
      </c>
      <c r="H1056" s="3" t="str">
        <f>CONCATENATE("64210522443")</f>
        <v>64210522443</v>
      </c>
      <c r="I1056" s="3" t="s">
        <v>25</v>
      </c>
      <c r="J1056" s="3" t="s">
        <v>26</v>
      </c>
      <c r="K1056" s="3" t="str">
        <f t="shared" si="36"/>
        <v/>
      </c>
      <c r="L1056" s="3" t="str">
        <f>CONCATENATE("13 13.1 4a")</f>
        <v>13 13.1 4a</v>
      </c>
      <c r="M1056" s="3" t="str">
        <f>CONCATENATE("MRCFMN59S66B474B")</f>
        <v>MRCFMN59S66B474B</v>
      </c>
      <c r="N1056" s="3" t="s">
        <v>1147</v>
      </c>
      <c r="O1056" s="3"/>
      <c r="P1056" s="4">
        <v>42783</v>
      </c>
      <c r="Q1056" s="3" t="s">
        <v>27</v>
      </c>
      <c r="R1056" s="3" t="s">
        <v>28</v>
      </c>
      <c r="S1056" s="3" t="s">
        <v>29</v>
      </c>
      <c r="T1056" s="5">
        <v>3044.77</v>
      </c>
      <c r="U1056" s="5">
        <v>1312.9</v>
      </c>
      <c r="V1056" s="5">
        <v>1212.43</v>
      </c>
      <c r="W1056" s="3">
        <v>519.44000000000005</v>
      </c>
    </row>
    <row r="1057" spans="1:23" ht="60.75">
      <c r="A1057" s="3" t="s">
        <v>23</v>
      </c>
      <c r="B1057" s="3" t="s">
        <v>24</v>
      </c>
      <c r="C1057" s="3" t="s">
        <v>35</v>
      </c>
      <c r="D1057" s="3" t="s">
        <v>39</v>
      </c>
      <c r="E1057" s="3" t="s">
        <v>32</v>
      </c>
      <c r="F1057" s="3" t="s">
        <v>117</v>
      </c>
      <c r="G1057" s="3">
        <v>2016</v>
      </c>
      <c r="H1057" s="3" t="str">
        <f>CONCATENATE("64240410361")</f>
        <v>64240410361</v>
      </c>
      <c r="I1057" s="3" t="s">
        <v>25</v>
      </c>
      <c r="J1057" s="3" t="s">
        <v>26</v>
      </c>
      <c r="K1057" s="3" t="str">
        <f t="shared" si="36"/>
        <v/>
      </c>
      <c r="L1057" s="3" t="str">
        <f>CONCATENATE("11 11.1 4b")</f>
        <v>11 11.1 4b</v>
      </c>
      <c r="M1057" s="3" t="str">
        <f>CONCATENATE("BTTGLI96R27I608R")</f>
        <v>BTTGLI96R27I608R</v>
      </c>
      <c r="N1057" s="3" t="s">
        <v>1148</v>
      </c>
      <c r="O1057" s="3"/>
      <c r="P1057" s="4">
        <v>42783</v>
      </c>
      <c r="Q1057" s="3" t="s">
        <v>27</v>
      </c>
      <c r="R1057" s="3" t="s">
        <v>28</v>
      </c>
      <c r="S1057" s="3" t="s">
        <v>29</v>
      </c>
      <c r="T1057" s="3">
        <v>774.09</v>
      </c>
      <c r="U1057" s="3">
        <v>333.79</v>
      </c>
      <c r="V1057" s="3">
        <v>308.24</v>
      </c>
      <c r="W1057" s="3">
        <v>132.06</v>
      </c>
    </row>
    <row r="1058" spans="1:23" ht="72.75">
      <c r="A1058" s="3" t="s">
        <v>23</v>
      </c>
      <c r="B1058" s="3" t="s">
        <v>24</v>
      </c>
      <c r="C1058" s="3" t="s">
        <v>35</v>
      </c>
      <c r="D1058" s="3" t="s">
        <v>36</v>
      </c>
      <c r="E1058" s="3" t="s">
        <v>42</v>
      </c>
      <c r="F1058" s="3" t="s">
        <v>42</v>
      </c>
      <c r="G1058" s="3">
        <v>2016</v>
      </c>
      <c r="H1058" s="3" t="str">
        <f>CONCATENATE("64240552212")</f>
        <v>64240552212</v>
      </c>
      <c r="I1058" s="3" t="s">
        <v>25</v>
      </c>
      <c r="J1058" s="3" t="s">
        <v>26</v>
      </c>
      <c r="K1058" s="3" t="str">
        <f t="shared" si="36"/>
        <v/>
      </c>
      <c r="L1058" s="3" t="str">
        <f>CONCATENATE("11 11.2 4b")</f>
        <v>11 11.2 4b</v>
      </c>
      <c r="M1058" s="3" t="str">
        <f>CONCATENATE("MRNMPT51L57G920D")</f>
        <v>MRNMPT51L57G920D</v>
      </c>
      <c r="N1058" s="3" t="s">
        <v>1149</v>
      </c>
      <c r="O1058" s="3"/>
      <c r="P1058" s="4">
        <v>42783</v>
      </c>
      <c r="Q1058" s="3" t="s">
        <v>27</v>
      </c>
      <c r="R1058" s="3" t="s">
        <v>28</v>
      </c>
      <c r="S1058" s="3" t="s">
        <v>29</v>
      </c>
      <c r="T1058" s="5">
        <v>2897.07</v>
      </c>
      <c r="U1058" s="5">
        <v>1249.22</v>
      </c>
      <c r="V1058" s="5">
        <v>1153.6099999999999</v>
      </c>
      <c r="W1058" s="3">
        <v>494.24</v>
      </c>
    </row>
    <row r="1059" spans="1:23" ht="60.75">
      <c r="A1059" s="3" t="s">
        <v>23</v>
      </c>
      <c r="B1059" s="3" t="s">
        <v>24</v>
      </c>
      <c r="C1059" s="3" t="s">
        <v>35</v>
      </c>
      <c r="D1059" s="3" t="s">
        <v>43</v>
      </c>
      <c r="E1059" s="3" t="s">
        <v>30</v>
      </c>
      <c r="F1059" s="3" t="s">
        <v>131</v>
      </c>
      <c r="G1059" s="3">
        <v>2016</v>
      </c>
      <c r="H1059" s="3" t="str">
        <f>CONCATENATE("64240479325")</f>
        <v>64240479325</v>
      </c>
      <c r="I1059" s="3" t="s">
        <v>25</v>
      </c>
      <c r="J1059" s="3" t="s">
        <v>26</v>
      </c>
      <c r="K1059" s="3" t="str">
        <f t="shared" si="36"/>
        <v/>
      </c>
      <c r="L1059" s="3" t="str">
        <f>CONCATENATE("11 11.2 4b")</f>
        <v>11 11.2 4b</v>
      </c>
      <c r="M1059" s="3" t="str">
        <f>CONCATENATE("BTTRCR45D01D749I")</f>
        <v>BTTRCR45D01D749I</v>
      </c>
      <c r="N1059" s="3" t="s">
        <v>1150</v>
      </c>
      <c r="O1059" s="3"/>
      <c r="P1059" s="4">
        <v>42783</v>
      </c>
      <c r="Q1059" s="3" t="s">
        <v>27</v>
      </c>
      <c r="R1059" s="3" t="s">
        <v>28</v>
      </c>
      <c r="S1059" s="3" t="s">
        <v>29</v>
      </c>
      <c r="T1059" s="3">
        <v>828.45</v>
      </c>
      <c r="U1059" s="3">
        <v>357.23</v>
      </c>
      <c r="V1059" s="3">
        <v>329.89</v>
      </c>
      <c r="W1059" s="3">
        <v>141.33000000000001</v>
      </c>
    </row>
    <row r="1060" spans="1:23" ht="72.75">
      <c r="A1060" s="3" t="s">
        <v>23</v>
      </c>
      <c r="B1060" s="3" t="s">
        <v>24</v>
      </c>
      <c r="C1060" s="3" t="s">
        <v>35</v>
      </c>
      <c r="D1060" s="3" t="s">
        <v>48</v>
      </c>
      <c r="E1060" s="3" t="s">
        <v>30</v>
      </c>
      <c r="F1060" s="3" t="s">
        <v>91</v>
      </c>
      <c r="G1060" s="3">
        <v>2016</v>
      </c>
      <c r="H1060" s="3" t="str">
        <f>CONCATENATE("64210521551")</f>
        <v>64210521551</v>
      </c>
      <c r="I1060" s="3" t="s">
        <v>25</v>
      </c>
      <c r="J1060" s="3" t="s">
        <v>26</v>
      </c>
      <c r="K1060" s="3" t="str">
        <f t="shared" si="36"/>
        <v/>
      </c>
      <c r="L1060" s="3" t="str">
        <f>CONCATENATE("13 13.1 4a")</f>
        <v>13 13.1 4a</v>
      </c>
      <c r="M1060" s="3" t="str">
        <f>CONCATENATE("MTTGFR41R06G690V")</f>
        <v>MTTGFR41R06G690V</v>
      </c>
      <c r="N1060" s="3" t="s">
        <v>1151</v>
      </c>
      <c r="O1060" s="3"/>
      <c r="P1060" s="4">
        <v>42783</v>
      </c>
      <c r="Q1060" s="3" t="s">
        <v>27</v>
      </c>
      <c r="R1060" s="3" t="s">
        <v>28</v>
      </c>
      <c r="S1060" s="3" t="s">
        <v>29</v>
      </c>
      <c r="T1060" s="5">
        <v>1336.97</v>
      </c>
      <c r="U1060" s="3">
        <v>576.5</v>
      </c>
      <c r="V1060" s="3">
        <v>532.38</v>
      </c>
      <c r="W1060" s="3">
        <v>228.09</v>
      </c>
    </row>
    <row r="1061" spans="1:23" ht="60.75">
      <c r="A1061" s="3" t="s">
        <v>23</v>
      </c>
      <c r="B1061" s="3" t="s">
        <v>24</v>
      </c>
      <c r="C1061" s="3" t="s">
        <v>35</v>
      </c>
      <c r="D1061" s="3" t="s">
        <v>48</v>
      </c>
      <c r="E1061" s="3" t="s">
        <v>30</v>
      </c>
      <c r="F1061" s="3" t="s">
        <v>157</v>
      </c>
      <c r="G1061" s="3">
        <v>2016</v>
      </c>
      <c r="H1061" s="3" t="str">
        <f>CONCATENATE("64240264248")</f>
        <v>64240264248</v>
      </c>
      <c r="I1061" s="3" t="s">
        <v>25</v>
      </c>
      <c r="J1061" s="3" t="s">
        <v>26</v>
      </c>
      <c r="K1061" s="3" t="str">
        <f t="shared" si="36"/>
        <v/>
      </c>
      <c r="L1061" s="3" t="str">
        <f>CONCATENATE("11 11.1 4b")</f>
        <v>11 11.1 4b</v>
      </c>
      <c r="M1061" s="3" t="str">
        <f>CONCATENATE("MTTGNZ59S29A252S")</f>
        <v>MTTGNZ59S29A252S</v>
      </c>
      <c r="N1061" s="3" t="s">
        <v>1152</v>
      </c>
      <c r="O1061" s="3"/>
      <c r="P1061" s="4">
        <v>42783</v>
      </c>
      <c r="Q1061" s="3" t="s">
        <v>27</v>
      </c>
      <c r="R1061" s="3" t="s">
        <v>28</v>
      </c>
      <c r="S1061" s="3" t="s">
        <v>29</v>
      </c>
      <c r="T1061" s="5">
        <v>2823.97</v>
      </c>
      <c r="U1061" s="5">
        <v>1217.7</v>
      </c>
      <c r="V1061" s="5">
        <v>1124.5</v>
      </c>
      <c r="W1061" s="3">
        <v>481.77</v>
      </c>
    </row>
    <row r="1062" spans="1:23" ht="60.75">
      <c r="A1062" s="3" t="s">
        <v>23</v>
      </c>
      <c r="B1062" s="3" t="s">
        <v>24</v>
      </c>
      <c r="C1062" s="3" t="s">
        <v>35</v>
      </c>
      <c r="D1062" s="3" t="s">
        <v>36</v>
      </c>
      <c r="E1062" s="3" t="s">
        <v>42</v>
      </c>
      <c r="F1062" s="3" t="s">
        <v>42</v>
      </c>
      <c r="G1062" s="3">
        <v>2016</v>
      </c>
      <c r="H1062" s="3" t="str">
        <f>CONCATENATE("64240843249")</f>
        <v>64240843249</v>
      </c>
      <c r="I1062" s="3" t="s">
        <v>25</v>
      </c>
      <c r="J1062" s="3" t="s">
        <v>26</v>
      </c>
      <c r="K1062" s="3" t="str">
        <f t="shared" si="36"/>
        <v/>
      </c>
      <c r="L1062" s="3" t="str">
        <f>CONCATENATE("11 11.2 4b")</f>
        <v>11 11.2 4b</v>
      </c>
      <c r="M1062" s="3" t="str">
        <f>CONCATENATE("PRSRNT87D22H769X")</f>
        <v>PRSRNT87D22H769X</v>
      </c>
      <c r="N1062" s="3" t="s">
        <v>1153</v>
      </c>
      <c r="O1062" s="3"/>
      <c r="P1062" s="4">
        <v>42783</v>
      </c>
      <c r="Q1062" s="3" t="s">
        <v>27</v>
      </c>
      <c r="R1062" s="3" t="s">
        <v>28</v>
      </c>
      <c r="S1062" s="3" t="s">
        <v>29</v>
      </c>
      <c r="T1062" s="5">
        <v>19898.5</v>
      </c>
      <c r="U1062" s="5">
        <v>8580.23</v>
      </c>
      <c r="V1062" s="5">
        <v>7923.58</v>
      </c>
      <c r="W1062" s="5">
        <v>3394.69</v>
      </c>
    </row>
    <row r="1063" spans="1:23" ht="60.75">
      <c r="A1063" s="3" t="s">
        <v>23</v>
      </c>
      <c r="B1063" s="3" t="s">
        <v>24</v>
      </c>
      <c r="C1063" s="3" t="s">
        <v>35</v>
      </c>
      <c r="D1063" s="3" t="s">
        <v>36</v>
      </c>
      <c r="E1063" s="3" t="s">
        <v>32</v>
      </c>
      <c r="F1063" s="3" t="s">
        <v>65</v>
      </c>
      <c r="G1063" s="3">
        <v>2016</v>
      </c>
      <c r="H1063" s="3" t="str">
        <f>CONCATENATE("64240589230")</f>
        <v>64240589230</v>
      </c>
      <c r="I1063" s="3" t="s">
        <v>25</v>
      </c>
      <c r="J1063" s="3" t="s">
        <v>26</v>
      </c>
      <c r="K1063" s="3" t="str">
        <f t="shared" si="36"/>
        <v/>
      </c>
      <c r="L1063" s="3" t="str">
        <f>CONCATENATE("11 11.2 4b")</f>
        <v>11 11.2 4b</v>
      </c>
      <c r="M1063" s="3" t="str">
        <f>CONCATENATE("FLSSFN54D70L117L")</f>
        <v>FLSSFN54D70L117L</v>
      </c>
      <c r="N1063" s="3" t="s">
        <v>1154</v>
      </c>
      <c r="O1063" s="3"/>
      <c r="P1063" s="4">
        <v>42783</v>
      </c>
      <c r="Q1063" s="3" t="s">
        <v>27</v>
      </c>
      <c r="R1063" s="3" t="s">
        <v>28</v>
      </c>
      <c r="S1063" s="3" t="s">
        <v>29</v>
      </c>
      <c r="T1063" s="5">
        <v>14191.15</v>
      </c>
      <c r="U1063" s="5">
        <v>6119.22</v>
      </c>
      <c r="V1063" s="5">
        <v>5650.92</v>
      </c>
      <c r="W1063" s="5">
        <v>2421.0100000000002</v>
      </c>
    </row>
    <row r="1064" spans="1:23" ht="60.75">
      <c r="A1064" s="3" t="s">
        <v>23</v>
      </c>
      <c r="B1064" s="3" t="s">
        <v>24</v>
      </c>
      <c r="C1064" s="3" t="s">
        <v>35</v>
      </c>
      <c r="D1064" s="3" t="s">
        <v>43</v>
      </c>
      <c r="E1064" s="3" t="s">
        <v>32</v>
      </c>
      <c r="F1064" s="3" t="s">
        <v>44</v>
      </c>
      <c r="G1064" s="3">
        <v>2016</v>
      </c>
      <c r="H1064" s="3" t="str">
        <f>CONCATENATE("64240352118")</f>
        <v>64240352118</v>
      </c>
      <c r="I1064" s="3" t="s">
        <v>25</v>
      </c>
      <c r="J1064" s="3" t="s">
        <v>26</v>
      </c>
      <c r="K1064" s="3" t="str">
        <f t="shared" si="36"/>
        <v/>
      </c>
      <c r="L1064" s="3" t="str">
        <f>CONCATENATE("11 11.2 4b")</f>
        <v>11 11.2 4b</v>
      </c>
      <c r="M1064" s="3" t="str">
        <f>CONCATENATE("FRTMRC75E10D749O")</f>
        <v>FRTMRC75E10D749O</v>
      </c>
      <c r="N1064" s="3" t="s">
        <v>1155</v>
      </c>
      <c r="O1064" s="3"/>
      <c r="P1064" s="4">
        <v>42783</v>
      </c>
      <c r="Q1064" s="3" t="s">
        <v>27</v>
      </c>
      <c r="R1064" s="3" t="s">
        <v>28</v>
      </c>
      <c r="S1064" s="3" t="s">
        <v>29</v>
      </c>
      <c r="T1064" s="5">
        <v>2161.13</v>
      </c>
      <c r="U1064" s="3">
        <v>931.88</v>
      </c>
      <c r="V1064" s="3">
        <v>860.56</v>
      </c>
      <c r="W1064" s="3">
        <v>368.69</v>
      </c>
    </row>
    <row r="1065" spans="1:23" ht="60.75">
      <c r="A1065" s="3" t="s">
        <v>23</v>
      </c>
      <c r="B1065" s="3" t="s">
        <v>24</v>
      </c>
      <c r="C1065" s="3" t="s">
        <v>35</v>
      </c>
      <c r="D1065" s="3" t="s">
        <v>36</v>
      </c>
      <c r="E1065" s="3" t="s">
        <v>32</v>
      </c>
      <c r="F1065" s="3" t="s">
        <v>127</v>
      </c>
      <c r="G1065" s="3">
        <v>2016</v>
      </c>
      <c r="H1065" s="3" t="str">
        <f>CONCATENATE("64240694873")</f>
        <v>64240694873</v>
      </c>
      <c r="I1065" s="3" t="s">
        <v>25</v>
      </c>
      <c r="J1065" s="3" t="s">
        <v>26</v>
      </c>
      <c r="K1065" s="3" t="str">
        <f t="shared" si="36"/>
        <v/>
      </c>
      <c r="L1065" s="3" t="str">
        <f>CONCATENATE("11 11.2 4b")</f>
        <v>11 11.2 4b</v>
      </c>
      <c r="M1065" s="3" t="str">
        <f>CONCATENATE("SNZGCM73D03F520W")</f>
        <v>SNZGCM73D03F520W</v>
      </c>
      <c r="N1065" s="3" t="s">
        <v>1156</v>
      </c>
      <c r="O1065" s="3"/>
      <c r="P1065" s="4">
        <v>42783</v>
      </c>
      <c r="Q1065" s="3" t="s">
        <v>27</v>
      </c>
      <c r="R1065" s="3" t="s">
        <v>28</v>
      </c>
      <c r="S1065" s="3" t="s">
        <v>29</v>
      </c>
      <c r="T1065" s="5">
        <v>14228.51</v>
      </c>
      <c r="U1065" s="5">
        <v>6135.33</v>
      </c>
      <c r="V1065" s="5">
        <v>5665.79</v>
      </c>
      <c r="W1065" s="5">
        <v>2427.39</v>
      </c>
    </row>
    <row r="1066" spans="1:23" ht="72.75">
      <c r="A1066" s="3" t="s">
        <v>23</v>
      </c>
      <c r="B1066" s="3" t="s">
        <v>24</v>
      </c>
      <c r="C1066" s="3" t="s">
        <v>35</v>
      </c>
      <c r="D1066" s="3" t="s">
        <v>48</v>
      </c>
      <c r="E1066" s="3" t="s">
        <v>33</v>
      </c>
      <c r="F1066" s="3" t="s">
        <v>160</v>
      </c>
      <c r="G1066" s="3">
        <v>2016</v>
      </c>
      <c r="H1066" s="3" t="str">
        <f>CONCATENATE("64210599136")</f>
        <v>64210599136</v>
      </c>
      <c r="I1066" s="3" t="s">
        <v>25</v>
      </c>
      <c r="J1066" s="3" t="s">
        <v>26</v>
      </c>
      <c r="K1066" s="3" t="str">
        <f t="shared" si="36"/>
        <v/>
      </c>
      <c r="L1066" s="3" t="str">
        <f>CONCATENATE("13 13.1 4a")</f>
        <v>13 13.1 4a</v>
      </c>
      <c r="M1066" s="3" t="str">
        <f>CONCATENATE("GNNGCR50A19A031M")</f>
        <v>GNNGCR50A19A031M</v>
      </c>
      <c r="N1066" s="3" t="s">
        <v>1157</v>
      </c>
      <c r="O1066" s="3"/>
      <c r="P1066" s="4">
        <v>42783</v>
      </c>
      <c r="Q1066" s="3" t="s">
        <v>27</v>
      </c>
      <c r="R1066" s="3" t="s">
        <v>28</v>
      </c>
      <c r="S1066" s="3" t="s">
        <v>29</v>
      </c>
      <c r="T1066" s="5">
        <v>3338.24</v>
      </c>
      <c r="U1066" s="5">
        <v>1439.45</v>
      </c>
      <c r="V1066" s="5">
        <v>1329.29</v>
      </c>
      <c r="W1066" s="3">
        <v>569.5</v>
      </c>
    </row>
    <row r="1067" spans="1:23" ht="72.75">
      <c r="A1067" s="3" t="s">
        <v>23</v>
      </c>
      <c r="B1067" s="3" t="s">
        <v>24</v>
      </c>
      <c r="C1067" s="3" t="s">
        <v>35</v>
      </c>
      <c r="D1067" s="3" t="s">
        <v>39</v>
      </c>
      <c r="E1067" s="3" t="s">
        <v>30</v>
      </c>
      <c r="F1067" s="3" t="s">
        <v>84</v>
      </c>
      <c r="G1067" s="3">
        <v>2016</v>
      </c>
      <c r="H1067" s="3" t="str">
        <f>CONCATENATE("64240564050")</f>
        <v>64240564050</v>
      </c>
      <c r="I1067" s="3" t="s">
        <v>25</v>
      </c>
      <c r="J1067" s="3" t="s">
        <v>26</v>
      </c>
      <c r="K1067" s="3" t="str">
        <f t="shared" si="36"/>
        <v/>
      </c>
      <c r="L1067" s="3" t="str">
        <f>CONCATENATE("11 11.2 4b")</f>
        <v>11 11.2 4b</v>
      </c>
      <c r="M1067" s="3" t="str">
        <f>CONCATENATE("MNTDOA54D64B474U")</f>
        <v>MNTDOA54D64B474U</v>
      </c>
      <c r="N1067" s="3" t="s">
        <v>1158</v>
      </c>
      <c r="O1067" s="3"/>
      <c r="P1067" s="4">
        <v>42783</v>
      </c>
      <c r="Q1067" s="3" t="s">
        <v>27</v>
      </c>
      <c r="R1067" s="3" t="s">
        <v>28</v>
      </c>
      <c r="S1067" s="3" t="s">
        <v>29</v>
      </c>
      <c r="T1067" s="5">
        <v>7532.96</v>
      </c>
      <c r="U1067" s="5">
        <v>3248.21</v>
      </c>
      <c r="V1067" s="5">
        <v>2999.62</v>
      </c>
      <c r="W1067" s="5">
        <v>1285.1300000000001</v>
      </c>
    </row>
    <row r="1068" spans="1:23" ht="60.75">
      <c r="A1068" s="3" t="s">
        <v>23</v>
      </c>
      <c r="B1068" s="3" t="s">
        <v>24</v>
      </c>
      <c r="C1068" s="3" t="s">
        <v>35</v>
      </c>
      <c r="D1068" s="3" t="s">
        <v>48</v>
      </c>
      <c r="E1068" s="3" t="s">
        <v>30</v>
      </c>
      <c r="F1068" s="3" t="s">
        <v>157</v>
      </c>
      <c r="G1068" s="3">
        <v>2016</v>
      </c>
      <c r="H1068" s="3" t="str">
        <f>CONCATENATE("64240463840")</f>
        <v>64240463840</v>
      </c>
      <c r="I1068" s="3" t="s">
        <v>25</v>
      </c>
      <c r="J1068" s="3" t="s">
        <v>26</v>
      </c>
      <c r="K1068" s="3" t="str">
        <f t="shared" si="36"/>
        <v/>
      </c>
      <c r="L1068" s="3" t="str">
        <f>CONCATENATE("11 11.1 4b")</f>
        <v>11 11.1 4b</v>
      </c>
      <c r="M1068" s="3" t="str">
        <f>CONCATENATE("PLNLRA81C61I436P")</f>
        <v>PLNLRA81C61I436P</v>
      </c>
      <c r="N1068" s="3" t="s">
        <v>1159</v>
      </c>
      <c r="O1068" s="3"/>
      <c r="P1068" s="4">
        <v>42783</v>
      </c>
      <c r="Q1068" s="3" t="s">
        <v>27</v>
      </c>
      <c r="R1068" s="3" t="s">
        <v>28</v>
      </c>
      <c r="S1068" s="3" t="s">
        <v>29</v>
      </c>
      <c r="T1068" s="5">
        <v>2153.3000000000002</v>
      </c>
      <c r="U1068" s="3">
        <v>928.5</v>
      </c>
      <c r="V1068" s="3">
        <v>857.44</v>
      </c>
      <c r="W1068" s="3">
        <v>367.36</v>
      </c>
    </row>
    <row r="1069" spans="1:23" ht="60.75">
      <c r="A1069" s="3" t="s">
        <v>23</v>
      </c>
      <c r="B1069" s="3" t="s">
        <v>24</v>
      </c>
      <c r="C1069" s="3" t="s">
        <v>35</v>
      </c>
      <c r="D1069" s="3" t="s">
        <v>48</v>
      </c>
      <c r="E1069" s="3" t="s">
        <v>49</v>
      </c>
      <c r="F1069" s="3" t="s">
        <v>50</v>
      </c>
      <c r="G1069" s="3">
        <v>2016</v>
      </c>
      <c r="H1069" s="3" t="str">
        <f>CONCATENATE("64240642666")</f>
        <v>64240642666</v>
      </c>
      <c r="I1069" s="3" t="s">
        <v>25</v>
      </c>
      <c r="J1069" s="3" t="s">
        <v>26</v>
      </c>
      <c r="K1069" s="3" t="str">
        <f t="shared" si="36"/>
        <v/>
      </c>
      <c r="L1069" s="3" t="str">
        <f>CONCATENATE("11 11.2 4b")</f>
        <v>11 11.2 4b</v>
      </c>
      <c r="M1069" s="3" t="str">
        <f>CONCATENATE("BRNRSO52E55C704U")</f>
        <v>BRNRSO52E55C704U</v>
      </c>
      <c r="N1069" s="3" t="s">
        <v>1160</v>
      </c>
      <c r="O1069" s="3"/>
      <c r="P1069" s="4">
        <v>42783</v>
      </c>
      <c r="Q1069" s="3" t="s">
        <v>27</v>
      </c>
      <c r="R1069" s="3" t="s">
        <v>28</v>
      </c>
      <c r="S1069" s="3" t="s">
        <v>29</v>
      </c>
      <c r="T1069" s="5">
        <v>1227.3599999999999</v>
      </c>
      <c r="U1069" s="3">
        <v>529.24</v>
      </c>
      <c r="V1069" s="3">
        <v>488.73</v>
      </c>
      <c r="W1069" s="3">
        <v>209.39</v>
      </c>
    </row>
    <row r="1070" spans="1:23" ht="60.75">
      <c r="A1070" s="3" t="s">
        <v>23</v>
      </c>
      <c r="B1070" s="3" t="s">
        <v>24</v>
      </c>
      <c r="C1070" s="3" t="s">
        <v>35</v>
      </c>
      <c r="D1070" s="3" t="s">
        <v>48</v>
      </c>
      <c r="E1070" s="3" t="s">
        <v>30</v>
      </c>
      <c r="F1070" s="3" t="s">
        <v>91</v>
      </c>
      <c r="G1070" s="3">
        <v>2016</v>
      </c>
      <c r="H1070" s="3" t="str">
        <f>CONCATENATE("64210646994")</f>
        <v>64210646994</v>
      </c>
      <c r="I1070" s="3" t="s">
        <v>25</v>
      </c>
      <c r="J1070" s="3" t="s">
        <v>26</v>
      </c>
      <c r="K1070" s="3" t="str">
        <f t="shared" ref="K1070:K1133" si="37">CONCATENATE("")</f>
        <v/>
      </c>
      <c r="L1070" s="3" t="str">
        <f>CONCATENATE("13 13.1 4a")</f>
        <v>13 13.1 4a</v>
      </c>
      <c r="M1070" s="3" t="str">
        <f>CONCATENATE("FRNCLD66L42L517F")</f>
        <v>FRNCLD66L42L517F</v>
      </c>
      <c r="N1070" s="3" t="s">
        <v>1161</v>
      </c>
      <c r="O1070" s="3"/>
      <c r="P1070" s="4">
        <v>42783</v>
      </c>
      <c r="Q1070" s="3" t="s">
        <v>27</v>
      </c>
      <c r="R1070" s="3" t="s">
        <v>28</v>
      </c>
      <c r="S1070" s="3" t="s">
        <v>29</v>
      </c>
      <c r="T1070" s="5">
        <v>2896.43</v>
      </c>
      <c r="U1070" s="5">
        <v>1248.94</v>
      </c>
      <c r="V1070" s="5">
        <v>1153.3599999999999</v>
      </c>
      <c r="W1070" s="3">
        <v>494.13</v>
      </c>
    </row>
    <row r="1071" spans="1:23" ht="72.75">
      <c r="A1071" s="3" t="s">
        <v>23</v>
      </c>
      <c r="B1071" s="3" t="s">
        <v>24</v>
      </c>
      <c r="C1071" s="3" t="s">
        <v>35</v>
      </c>
      <c r="D1071" s="3" t="s">
        <v>36</v>
      </c>
      <c r="E1071" s="3" t="s">
        <v>32</v>
      </c>
      <c r="F1071" s="3" t="s">
        <v>179</v>
      </c>
      <c r="G1071" s="3">
        <v>2016</v>
      </c>
      <c r="H1071" s="3" t="str">
        <f>CONCATENATE("64210548570")</f>
        <v>64210548570</v>
      </c>
      <c r="I1071" s="3" t="s">
        <v>25</v>
      </c>
      <c r="J1071" s="3" t="s">
        <v>26</v>
      </c>
      <c r="K1071" s="3" t="str">
        <f t="shared" si="37"/>
        <v/>
      </c>
      <c r="L1071" s="3" t="str">
        <f>CONCATENATE("13 13.1 4a")</f>
        <v>13 13.1 4a</v>
      </c>
      <c r="M1071" s="3" t="str">
        <f>CONCATENATE("RCLGCR68M27A252N")</f>
        <v>RCLGCR68M27A252N</v>
      </c>
      <c r="N1071" s="3" t="s">
        <v>1162</v>
      </c>
      <c r="O1071" s="3"/>
      <c r="P1071" s="4">
        <v>42783</v>
      </c>
      <c r="Q1071" s="3" t="s">
        <v>27</v>
      </c>
      <c r="R1071" s="3" t="s">
        <v>28</v>
      </c>
      <c r="S1071" s="3" t="s">
        <v>29</v>
      </c>
      <c r="T1071" s="3">
        <v>620.17999999999995</v>
      </c>
      <c r="U1071" s="3">
        <v>267.42</v>
      </c>
      <c r="V1071" s="3">
        <v>246.96</v>
      </c>
      <c r="W1071" s="3">
        <v>105.8</v>
      </c>
    </row>
    <row r="1072" spans="1:23" ht="72.75">
      <c r="A1072" s="3" t="s">
        <v>23</v>
      </c>
      <c r="B1072" s="3" t="s">
        <v>24</v>
      </c>
      <c r="C1072" s="3" t="s">
        <v>35</v>
      </c>
      <c r="D1072" s="3" t="s">
        <v>39</v>
      </c>
      <c r="E1072" s="3" t="s">
        <v>30</v>
      </c>
      <c r="F1072" s="3" t="s">
        <v>40</v>
      </c>
      <c r="G1072" s="3">
        <v>2016</v>
      </c>
      <c r="H1072" s="3" t="str">
        <f>CONCATENATE("64240636692")</f>
        <v>64240636692</v>
      </c>
      <c r="I1072" s="3" t="s">
        <v>25</v>
      </c>
      <c r="J1072" s="3" t="s">
        <v>26</v>
      </c>
      <c r="K1072" s="3" t="str">
        <f t="shared" si="37"/>
        <v/>
      </c>
      <c r="L1072" s="3" t="str">
        <f>CONCATENATE("10 10.1 4a")</f>
        <v>10 10.1 4a</v>
      </c>
      <c r="M1072" s="3" t="str">
        <f>CONCATENATE("PRLRMN73B44E388N")</f>
        <v>PRLRMN73B44E388N</v>
      </c>
      <c r="N1072" s="3" t="s">
        <v>1163</v>
      </c>
      <c r="O1072" s="3"/>
      <c r="P1072" s="4">
        <v>42783</v>
      </c>
      <c r="Q1072" s="3" t="s">
        <v>27</v>
      </c>
      <c r="R1072" s="3" t="s">
        <v>28</v>
      </c>
      <c r="S1072" s="3" t="s">
        <v>29</v>
      </c>
      <c r="T1072" s="5">
        <v>1537.63</v>
      </c>
      <c r="U1072" s="3">
        <v>663.03</v>
      </c>
      <c r="V1072" s="3">
        <v>612.28</v>
      </c>
      <c r="W1072" s="3">
        <v>262.32</v>
      </c>
    </row>
    <row r="1073" spans="1:23" ht="60.75">
      <c r="A1073" s="3" t="s">
        <v>23</v>
      </c>
      <c r="B1073" s="3" t="s">
        <v>24</v>
      </c>
      <c r="C1073" s="3" t="s">
        <v>35</v>
      </c>
      <c r="D1073" s="3" t="s">
        <v>48</v>
      </c>
      <c r="E1073" s="3" t="s">
        <v>49</v>
      </c>
      <c r="F1073" s="3" t="s">
        <v>50</v>
      </c>
      <c r="G1073" s="3">
        <v>2016</v>
      </c>
      <c r="H1073" s="3" t="str">
        <f>CONCATENATE("64240355293")</f>
        <v>64240355293</v>
      </c>
      <c r="I1073" s="3" t="s">
        <v>25</v>
      </c>
      <c r="J1073" s="3" t="s">
        <v>26</v>
      </c>
      <c r="K1073" s="3" t="str">
        <f t="shared" si="37"/>
        <v/>
      </c>
      <c r="L1073" s="3" t="str">
        <f>CONCATENATE("11 11.2 4b")</f>
        <v>11 11.2 4b</v>
      </c>
      <c r="M1073" s="3" t="str">
        <f>CONCATENATE("CMPLRZ84H41L366R")</f>
        <v>CMPLRZ84H41L366R</v>
      </c>
      <c r="N1073" s="3" t="s">
        <v>1164</v>
      </c>
      <c r="O1073" s="3"/>
      <c r="P1073" s="4">
        <v>42783</v>
      </c>
      <c r="Q1073" s="3" t="s">
        <v>27</v>
      </c>
      <c r="R1073" s="3" t="s">
        <v>28</v>
      </c>
      <c r="S1073" s="3" t="s">
        <v>29</v>
      </c>
      <c r="T1073" s="3">
        <v>627.09</v>
      </c>
      <c r="U1073" s="3">
        <v>270.39999999999998</v>
      </c>
      <c r="V1073" s="3">
        <v>249.71</v>
      </c>
      <c r="W1073" s="3">
        <v>106.98</v>
      </c>
    </row>
    <row r="1074" spans="1:23" ht="60.75">
      <c r="A1074" s="3" t="s">
        <v>23</v>
      </c>
      <c r="B1074" s="3" t="s">
        <v>24</v>
      </c>
      <c r="C1074" s="3" t="s">
        <v>35</v>
      </c>
      <c r="D1074" s="3" t="s">
        <v>48</v>
      </c>
      <c r="E1074" s="3" t="s">
        <v>30</v>
      </c>
      <c r="F1074" s="3" t="s">
        <v>57</v>
      </c>
      <c r="G1074" s="3">
        <v>2016</v>
      </c>
      <c r="H1074" s="3" t="str">
        <f>CONCATENATE("64240610853")</f>
        <v>64240610853</v>
      </c>
      <c r="I1074" s="3" t="s">
        <v>25</v>
      </c>
      <c r="J1074" s="3" t="s">
        <v>26</v>
      </c>
      <c r="K1074" s="3" t="str">
        <f t="shared" si="37"/>
        <v/>
      </c>
      <c r="L1074" s="3" t="str">
        <f>CONCATENATE("11 11.1 4b")</f>
        <v>11 11.1 4b</v>
      </c>
      <c r="M1074" s="3" t="str">
        <f>CONCATENATE("PRLRLF31S22L191T")</f>
        <v>PRLRLF31S22L191T</v>
      </c>
      <c r="N1074" s="3" t="s">
        <v>1165</v>
      </c>
      <c r="O1074" s="3"/>
      <c r="P1074" s="4">
        <v>42783</v>
      </c>
      <c r="Q1074" s="3" t="s">
        <v>27</v>
      </c>
      <c r="R1074" s="3" t="s">
        <v>28</v>
      </c>
      <c r="S1074" s="3" t="s">
        <v>29</v>
      </c>
      <c r="T1074" s="5">
        <v>1301.8499999999999</v>
      </c>
      <c r="U1074" s="3">
        <v>561.36</v>
      </c>
      <c r="V1074" s="3">
        <v>518.4</v>
      </c>
      <c r="W1074" s="3">
        <v>222.09</v>
      </c>
    </row>
    <row r="1075" spans="1:23" ht="60.75">
      <c r="A1075" s="3" t="s">
        <v>23</v>
      </c>
      <c r="B1075" s="3" t="s">
        <v>24</v>
      </c>
      <c r="C1075" s="3" t="s">
        <v>35</v>
      </c>
      <c r="D1075" s="3" t="s">
        <v>43</v>
      </c>
      <c r="E1075" s="3" t="s">
        <v>30</v>
      </c>
      <c r="F1075" s="3" t="s">
        <v>76</v>
      </c>
      <c r="G1075" s="3">
        <v>2016</v>
      </c>
      <c r="H1075" s="3" t="str">
        <f>CONCATENATE("64210141798")</f>
        <v>64210141798</v>
      </c>
      <c r="I1075" s="3" t="s">
        <v>25</v>
      </c>
      <c r="J1075" s="3" t="s">
        <v>26</v>
      </c>
      <c r="K1075" s="3" t="str">
        <f t="shared" si="37"/>
        <v/>
      </c>
      <c r="L1075" s="3" t="str">
        <f>CONCATENATE("13 13.1 4a")</f>
        <v>13 13.1 4a</v>
      </c>
      <c r="M1075" s="3" t="str">
        <f>CONCATENATE("RSSVLR33S15F524P")</f>
        <v>RSSVLR33S15F524P</v>
      </c>
      <c r="N1075" s="3" t="s">
        <v>1166</v>
      </c>
      <c r="O1075" s="3"/>
      <c r="P1075" s="4">
        <v>42783</v>
      </c>
      <c r="Q1075" s="3" t="s">
        <v>27</v>
      </c>
      <c r="R1075" s="3" t="s">
        <v>28</v>
      </c>
      <c r="S1075" s="3" t="s">
        <v>29</v>
      </c>
      <c r="T1075" s="5">
        <v>1919.65</v>
      </c>
      <c r="U1075" s="3">
        <v>827.75</v>
      </c>
      <c r="V1075" s="3">
        <v>764.4</v>
      </c>
      <c r="W1075" s="3">
        <v>327.5</v>
      </c>
    </row>
    <row r="1076" spans="1:23" ht="60.75">
      <c r="A1076" s="3" t="s">
        <v>23</v>
      </c>
      <c r="B1076" s="3" t="s">
        <v>24</v>
      </c>
      <c r="C1076" s="3" t="s">
        <v>35</v>
      </c>
      <c r="D1076" s="3" t="s">
        <v>48</v>
      </c>
      <c r="E1076" s="3" t="s">
        <v>59</v>
      </c>
      <c r="F1076" s="3" t="s">
        <v>240</v>
      </c>
      <c r="G1076" s="3">
        <v>2016</v>
      </c>
      <c r="H1076" s="3" t="str">
        <f>CONCATENATE("64240617312")</f>
        <v>64240617312</v>
      </c>
      <c r="I1076" s="3" t="s">
        <v>25</v>
      </c>
      <c r="J1076" s="3" t="s">
        <v>26</v>
      </c>
      <c r="K1076" s="3" t="str">
        <f t="shared" si="37"/>
        <v/>
      </c>
      <c r="L1076" s="3" t="str">
        <f t="shared" ref="L1076:L1084" si="38">CONCATENATE("11 11.2 4b")</f>
        <v>11 11.2 4b</v>
      </c>
      <c r="M1076" s="3" t="str">
        <f>CONCATENATE("CCCFRZ48B07F051R")</f>
        <v>CCCFRZ48B07F051R</v>
      </c>
      <c r="N1076" s="3" t="s">
        <v>1167</v>
      </c>
      <c r="O1076" s="3"/>
      <c r="P1076" s="4">
        <v>42783</v>
      </c>
      <c r="Q1076" s="3" t="s">
        <v>27</v>
      </c>
      <c r="R1076" s="3" t="s">
        <v>28</v>
      </c>
      <c r="S1076" s="3" t="s">
        <v>29</v>
      </c>
      <c r="T1076" s="5">
        <v>3203.37</v>
      </c>
      <c r="U1076" s="5">
        <v>1381.29</v>
      </c>
      <c r="V1076" s="5">
        <v>1275.58</v>
      </c>
      <c r="W1076" s="3">
        <v>546.5</v>
      </c>
    </row>
    <row r="1077" spans="1:23" ht="36.75">
      <c r="A1077" s="3" t="s">
        <v>23</v>
      </c>
      <c r="B1077" s="3" t="s">
        <v>24</v>
      </c>
      <c r="C1077" s="3" t="s">
        <v>35</v>
      </c>
      <c r="D1077" s="3" t="s">
        <v>48</v>
      </c>
      <c r="E1077" s="3" t="s">
        <v>42</v>
      </c>
      <c r="F1077" s="3" t="s">
        <v>42</v>
      </c>
      <c r="G1077" s="3">
        <v>2016</v>
      </c>
      <c r="H1077" s="3" t="str">
        <f>CONCATENATE("64240538203")</f>
        <v>64240538203</v>
      </c>
      <c r="I1077" s="3" t="s">
        <v>25</v>
      </c>
      <c r="J1077" s="3" t="s">
        <v>26</v>
      </c>
      <c r="K1077" s="3" t="str">
        <f t="shared" si="37"/>
        <v/>
      </c>
      <c r="L1077" s="3" t="str">
        <f t="shared" si="38"/>
        <v>11 11.2 4b</v>
      </c>
      <c r="M1077" s="3" t="str">
        <f>CONCATENATE("01058860436")</f>
        <v>01058860436</v>
      </c>
      <c r="N1077" s="3" t="s">
        <v>1168</v>
      </c>
      <c r="O1077" s="3"/>
      <c r="P1077" s="4">
        <v>42783</v>
      </c>
      <c r="Q1077" s="3" t="s">
        <v>27</v>
      </c>
      <c r="R1077" s="3" t="s">
        <v>28</v>
      </c>
      <c r="S1077" s="3" t="s">
        <v>29</v>
      </c>
      <c r="T1077" s="5">
        <v>16546.169999999998</v>
      </c>
      <c r="U1077" s="5">
        <v>7134.71</v>
      </c>
      <c r="V1077" s="5">
        <v>6588.68</v>
      </c>
      <c r="W1077" s="5">
        <v>2822.78</v>
      </c>
    </row>
    <row r="1078" spans="1:23" ht="60.75">
      <c r="A1078" s="3" t="s">
        <v>23</v>
      </c>
      <c r="B1078" s="3" t="s">
        <v>24</v>
      </c>
      <c r="C1078" s="3" t="s">
        <v>35</v>
      </c>
      <c r="D1078" s="3" t="s">
        <v>36</v>
      </c>
      <c r="E1078" s="3" t="s">
        <v>59</v>
      </c>
      <c r="F1078" s="3" t="s">
        <v>62</v>
      </c>
      <c r="G1078" s="3">
        <v>2016</v>
      </c>
      <c r="H1078" s="3" t="str">
        <f>CONCATENATE("64240905436")</f>
        <v>64240905436</v>
      </c>
      <c r="I1078" s="3" t="s">
        <v>25</v>
      </c>
      <c r="J1078" s="3" t="s">
        <v>26</v>
      </c>
      <c r="K1078" s="3" t="str">
        <f t="shared" si="37"/>
        <v/>
      </c>
      <c r="L1078" s="3" t="str">
        <f t="shared" si="38"/>
        <v>11 11.2 4b</v>
      </c>
      <c r="M1078" s="3" t="str">
        <f>CONCATENATE("GRGCLD78E46L103X")</f>
        <v>GRGCLD78E46L103X</v>
      </c>
      <c r="N1078" s="3" t="s">
        <v>1169</v>
      </c>
      <c r="O1078" s="3"/>
      <c r="P1078" s="4">
        <v>42783</v>
      </c>
      <c r="Q1078" s="3" t="s">
        <v>27</v>
      </c>
      <c r="R1078" s="3" t="s">
        <v>28</v>
      </c>
      <c r="S1078" s="3" t="s">
        <v>29</v>
      </c>
      <c r="T1078" s="5">
        <v>3983.05</v>
      </c>
      <c r="U1078" s="5">
        <v>1717.49</v>
      </c>
      <c r="V1078" s="5">
        <v>1586.05</v>
      </c>
      <c r="W1078" s="3">
        <v>679.51</v>
      </c>
    </row>
    <row r="1079" spans="1:23" ht="60.75">
      <c r="A1079" s="3" t="s">
        <v>23</v>
      </c>
      <c r="B1079" s="3" t="s">
        <v>24</v>
      </c>
      <c r="C1079" s="3" t="s">
        <v>35</v>
      </c>
      <c r="D1079" s="3" t="s">
        <v>43</v>
      </c>
      <c r="E1079" s="3" t="s">
        <v>30</v>
      </c>
      <c r="F1079" s="3" t="s">
        <v>104</v>
      </c>
      <c r="G1079" s="3">
        <v>2016</v>
      </c>
      <c r="H1079" s="3" t="str">
        <f>CONCATENATE("64240637088")</f>
        <v>64240637088</v>
      </c>
      <c r="I1079" s="3" t="s">
        <v>25</v>
      </c>
      <c r="J1079" s="3" t="s">
        <v>26</v>
      </c>
      <c r="K1079" s="3" t="str">
        <f t="shared" si="37"/>
        <v/>
      </c>
      <c r="L1079" s="3" t="str">
        <f t="shared" si="38"/>
        <v>11 11.2 4b</v>
      </c>
      <c r="M1079" s="3" t="str">
        <f>CONCATENATE("SMKTTN73S70Z154V")</f>
        <v>SMKTTN73S70Z154V</v>
      </c>
      <c r="N1079" s="3" t="s">
        <v>1170</v>
      </c>
      <c r="O1079" s="3"/>
      <c r="P1079" s="4">
        <v>42783</v>
      </c>
      <c r="Q1079" s="3" t="s">
        <v>27</v>
      </c>
      <c r="R1079" s="3" t="s">
        <v>28</v>
      </c>
      <c r="S1079" s="3" t="s">
        <v>29</v>
      </c>
      <c r="T1079" s="5">
        <v>4530.5200000000004</v>
      </c>
      <c r="U1079" s="5">
        <v>1953.56</v>
      </c>
      <c r="V1079" s="5">
        <v>1804.05</v>
      </c>
      <c r="W1079" s="3">
        <v>772.91</v>
      </c>
    </row>
    <row r="1080" spans="1:23" ht="60.75">
      <c r="A1080" s="3" t="s">
        <v>23</v>
      </c>
      <c r="B1080" s="3" t="s">
        <v>24</v>
      </c>
      <c r="C1080" s="3" t="s">
        <v>35</v>
      </c>
      <c r="D1080" s="3" t="s">
        <v>48</v>
      </c>
      <c r="E1080" s="3" t="s">
        <v>49</v>
      </c>
      <c r="F1080" s="3" t="s">
        <v>50</v>
      </c>
      <c r="G1080" s="3">
        <v>2016</v>
      </c>
      <c r="H1080" s="3" t="str">
        <f>CONCATENATE("64240622122")</f>
        <v>64240622122</v>
      </c>
      <c r="I1080" s="3" t="s">
        <v>25</v>
      </c>
      <c r="J1080" s="3" t="s">
        <v>26</v>
      </c>
      <c r="K1080" s="3" t="str">
        <f t="shared" si="37"/>
        <v/>
      </c>
      <c r="L1080" s="3" t="str">
        <f t="shared" si="38"/>
        <v>11 11.2 4b</v>
      </c>
      <c r="M1080" s="3" t="str">
        <f>CONCATENATE("TRRMTN76P43E783V")</f>
        <v>TRRMTN76P43E783V</v>
      </c>
      <c r="N1080" s="3" t="s">
        <v>1171</v>
      </c>
      <c r="O1080" s="3"/>
      <c r="P1080" s="4">
        <v>42783</v>
      </c>
      <c r="Q1080" s="3" t="s">
        <v>27</v>
      </c>
      <c r="R1080" s="3" t="s">
        <v>28</v>
      </c>
      <c r="S1080" s="3" t="s">
        <v>29</v>
      </c>
      <c r="T1080" s="3">
        <v>880.38</v>
      </c>
      <c r="U1080" s="3">
        <v>379.62</v>
      </c>
      <c r="V1080" s="3">
        <v>350.57</v>
      </c>
      <c r="W1080" s="3">
        <v>150.19</v>
      </c>
    </row>
    <row r="1081" spans="1:23" ht="72.75">
      <c r="A1081" s="3" t="s">
        <v>23</v>
      </c>
      <c r="B1081" s="3" t="s">
        <v>24</v>
      </c>
      <c r="C1081" s="3" t="s">
        <v>35</v>
      </c>
      <c r="D1081" s="3" t="s">
        <v>39</v>
      </c>
      <c r="E1081" s="3" t="s">
        <v>32</v>
      </c>
      <c r="F1081" s="3" t="s">
        <v>69</v>
      </c>
      <c r="G1081" s="3">
        <v>2016</v>
      </c>
      <c r="H1081" s="3" t="str">
        <f>CONCATENATE("64240501797")</f>
        <v>64240501797</v>
      </c>
      <c r="I1081" s="3" t="s">
        <v>25</v>
      </c>
      <c r="J1081" s="3" t="s">
        <v>26</v>
      </c>
      <c r="K1081" s="3" t="str">
        <f t="shared" si="37"/>
        <v/>
      </c>
      <c r="L1081" s="3" t="str">
        <f t="shared" si="38"/>
        <v>11 11.2 4b</v>
      </c>
      <c r="M1081" s="3" t="str">
        <f>CONCATENATE("FRTMSM65R27F205U")</f>
        <v>FRTMSM65R27F205U</v>
      </c>
      <c r="N1081" s="3" t="s">
        <v>1172</v>
      </c>
      <c r="O1081" s="3"/>
      <c r="P1081" s="4">
        <v>42783</v>
      </c>
      <c r="Q1081" s="3" t="s">
        <v>27</v>
      </c>
      <c r="R1081" s="3" t="s">
        <v>28</v>
      </c>
      <c r="S1081" s="3" t="s">
        <v>29</v>
      </c>
      <c r="T1081" s="5">
        <v>2728.11</v>
      </c>
      <c r="U1081" s="5">
        <v>1176.3599999999999</v>
      </c>
      <c r="V1081" s="5">
        <v>1086.33</v>
      </c>
      <c r="W1081" s="3">
        <v>465.42</v>
      </c>
    </row>
    <row r="1082" spans="1:23" ht="36.75">
      <c r="A1082" s="3" t="s">
        <v>23</v>
      </c>
      <c r="B1082" s="3" t="s">
        <v>24</v>
      </c>
      <c r="C1082" s="3" t="s">
        <v>35</v>
      </c>
      <c r="D1082" s="3" t="s">
        <v>39</v>
      </c>
      <c r="E1082" s="3" t="s">
        <v>30</v>
      </c>
      <c r="F1082" s="3" t="s">
        <v>533</v>
      </c>
      <c r="G1082" s="3">
        <v>2016</v>
      </c>
      <c r="H1082" s="3" t="str">
        <f>CONCATENATE("64240540647")</f>
        <v>64240540647</v>
      </c>
      <c r="I1082" s="3" t="s">
        <v>25</v>
      </c>
      <c r="J1082" s="3" t="s">
        <v>26</v>
      </c>
      <c r="K1082" s="3" t="str">
        <f t="shared" si="37"/>
        <v/>
      </c>
      <c r="L1082" s="3" t="str">
        <f t="shared" si="38"/>
        <v>11 11.2 4b</v>
      </c>
      <c r="M1082" s="3" t="str">
        <f>CONCATENATE("02707600421")</f>
        <v>02707600421</v>
      </c>
      <c r="N1082" s="3" t="s">
        <v>1173</v>
      </c>
      <c r="O1082" s="3"/>
      <c r="P1082" s="4">
        <v>42783</v>
      </c>
      <c r="Q1082" s="3" t="s">
        <v>27</v>
      </c>
      <c r="R1082" s="3" t="s">
        <v>28</v>
      </c>
      <c r="S1082" s="3" t="s">
        <v>29</v>
      </c>
      <c r="T1082" s="5">
        <v>1255.83</v>
      </c>
      <c r="U1082" s="3">
        <v>541.51</v>
      </c>
      <c r="V1082" s="3">
        <v>500.07</v>
      </c>
      <c r="W1082" s="3">
        <v>214.25</v>
      </c>
    </row>
    <row r="1083" spans="1:23" ht="60.75">
      <c r="A1083" s="3" t="s">
        <v>23</v>
      </c>
      <c r="B1083" s="3" t="s">
        <v>24</v>
      </c>
      <c r="C1083" s="3" t="s">
        <v>35</v>
      </c>
      <c r="D1083" s="3" t="s">
        <v>36</v>
      </c>
      <c r="E1083" s="3" t="s">
        <v>42</v>
      </c>
      <c r="F1083" s="3" t="s">
        <v>42</v>
      </c>
      <c r="G1083" s="3">
        <v>2016</v>
      </c>
      <c r="H1083" s="3" t="str">
        <f>CONCATENATE("64240125076")</f>
        <v>64240125076</v>
      </c>
      <c r="I1083" s="3" t="s">
        <v>25</v>
      </c>
      <c r="J1083" s="3" t="s">
        <v>26</v>
      </c>
      <c r="K1083" s="3" t="str">
        <f t="shared" si="37"/>
        <v/>
      </c>
      <c r="L1083" s="3" t="str">
        <f t="shared" si="38"/>
        <v>11 11.2 4b</v>
      </c>
      <c r="M1083" s="3" t="str">
        <f>CONCATENATE("MTTLDE42P70F415T")</f>
        <v>MTTLDE42P70F415T</v>
      </c>
      <c r="N1083" s="3" t="s">
        <v>1174</v>
      </c>
      <c r="O1083" s="3"/>
      <c r="P1083" s="4">
        <v>42783</v>
      </c>
      <c r="Q1083" s="3" t="s">
        <v>27</v>
      </c>
      <c r="R1083" s="3" t="s">
        <v>28</v>
      </c>
      <c r="S1083" s="3" t="s">
        <v>29</v>
      </c>
      <c r="T1083" s="5">
        <v>1279.1500000000001</v>
      </c>
      <c r="U1083" s="3">
        <v>551.57000000000005</v>
      </c>
      <c r="V1083" s="3">
        <v>509.36</v>
      </c>
      <c r="W1083" s="3">
        <v>218.22</v>
      </c>
    </row>
    <row r="1084" spans="1:23" ht="60.75">
      <c r="A1084" s="3" t="s">
        <v>23</v>
      </c>
      <c r="B1084" s="3" t="s">
        <v>24</v>
      </c>
      <c r="C1084" s="3" t="s">
        <v>35</v>
      </c>
      <c r="D1084" s="3" t="s">
        <v>43</v>
      </c>
      <c r="E1084" s="3" t="s">
        <v>30</v>
      </c>
      <c r="F1084" s="3" t="s">
        <v>131</v>
      </c>
      <c r="G1084" s="3">
        <v>2016</v>
      </c>
      <c r="H1084" s="3" t="str">
        <f>CONCATENATE("64240783288")</f>
        <v>64240783288</v>
      </c>
      <c r="I1084" s="3" t="s">
        <v>25</v>
      </c>
      <c r="J1084" s="3" t="s">
        <v>26</v>
      </c>
      <c r="K1084" s="3" t="str">
        <f t="shared" si="37"/>
        <v/>
      </c>
      <c r="L1084" s="3" t="str">
        <f t="shared" si="38"/>
        <v>11 11.2 4b</v>
      </c>
      <c r="M1084" s="3" t="str">
        <f>CONCATENATE("CRNNGR47P70D488X")</f>
        <v>CRNNGR47P70D488X</v>
      </c>
      <c r="N1084" s="3" t="s">
        <v>1175</v>
      </c>
      <c r="O1084" s="3"/>
      <c r="P1084" s="4">
        <v>42783</v>
      </c>
      <c r="Q1084" s="3" t="s">
        <v>27</v>
      </c>
      <c r="R1084" s="3" t="s">
        <v>28</v>
      </c>
      <c r="S1084" s="3" t="s">
        <v>29</v>
      </c>
      <c r="T1084" s="5">
        <v>1766.14</v>
      </c>
      <c r="U1084" s="3">
        <v>761.56</v>
      </c>
      <c r="V1084" s="3">
        <v>703.28</v>
      </c>
      <c r="W1084" s="3">
        <v>301.3</v>
      </c>
    </row>
    <row r="1085" spans="1:23" ht="36.75">
      <c r="A1085" s="3" t="s">
        <v>23</v>
      </c>
      <c r="B1085" s="3" t="s">
        <v>24</v>
      </c>
      <c r="C1085" s="3" t="s">
        <v>35</v>
      </c>
      <c r="D1085" s="3" t="s">
        <v>48</v>
      </c>
      <c r="E1085" s="3" t="s">
        <v>49</v>
      </c>
      <c r="F1085" s="3" t="s">
        <v>74</v>
      </c>
      <c r="G1085" s="3">
        <v>2016</v>
      </c>
      <c r="H1085" s="3" t="str">
        <f>CONCATENATE("64240446605")</f>
        <v>64240446605</v>
      </c>
      <c r="I1085" s="3" t="s">
        <v>25</v>
      </c>
      <c r="J1085" s="3" t="s">
        <v>26</v>
      </c>
      <c r="K1085" s="3" t="str">
        <f t="shared" si="37"/>
        <v/>
      </c>
      <c r="L1085" s="3" t="str">
        <f>CONCATENATE("11 11.1 4b")</f>
        <v>11 11.1 4b</v>
      </c>
      <c r="M1085" s="3" t="str">
        <f>CONCATENATE("01909330431")</f>
        <v>01909330431</v>
      </c>
      <c r="N1085" s="3" t="s">
        <v>1176</v>
      </c>
      <c r="O1085" s="3"/>
      <c r="P1085" s="4">
        <v>42783</v>
      </c>
      <c r="Q1085" s="3" t="s">
        <v>27</v>
      </c>
      <c r="R1085" s="3" t="s">
        <v>28</v>
      </c>
      <c r="S1085" s="3" t="s">
        <v>29</v>
      </c>
      <c r="T1085" s="3">
        <v>38.86</v>
      </c>
      <c r="U1085" s="3">
        <v>16.760000000000002</v>
      </c>
      <c r="V1085" s="3">
        <v>15.47</v>
      </c>
      <c r="W1085" s="3">
        <v>6.63</v>
      </c>
    </row>
    <row r="1086" spans="1:23" ht="72.75">
      <c r="A1086" s="3" t="s">
        <v>23</v>
      </c>
      <c r="B1086" s="3" t="s">
        <v>24</v>
      </c>
      <c r="C1086" s="3" t="s">
        <v>35</v>
      </c>
      <c r="D1086" s="3" t="s">
        <v>48</v>
      </c>
      <c r="E1086" s="3" t="s">
        <v>49</v>
      </c>
      <c r="F1086" s="3" t="s">
        <v>80</v>
      </c>
      <c r="G1086" s="3">
        <v>2016</v>
      </c>
      <c r="H1086" s="3" t="str">
        <f>CONCATENATE("64210674038")</f>
        <v>64210674038</v>
      </c>
      <c r="I1086" s="3" t="s">
        <v>25</v>
      </c>
      <c r="J1086" s="3" t="s">
        <v>26</v>
      </c>
      <c r="K1086" s="3" t="str">
        <f t="shared" si="37"/>
        <v/>
      </c>
      <c r="L1086" s="3" t="str">
        <f>CONCATENATE("13 13.1 4a")</f>
        <v>13 13.1 4a</v>
      </c>
      <c r="M1086" s="3" t="str">
        <f>CONCATENATE("RCCFNC92H07B474V")</f>
        <v>RCCFNC92H07B474V</v>
      </c>
      <c r="N1086" s="3" t="s">
        <v>1177</v>
      </c>
      <c r="O1086" s="3"/>
      <c r="P1086" s="4">
        <v>42783</v>
      </c>
      <c r="Q1086" s="3" t="s">
        <v>27</v>
      </c>
      <c r="R1086" s="3" t="s">
        <v>28</v>
      </c>
      <c r="S1086" s="3" t="s">
        <v>29</v>
      </c>
      <c r="T1086" s="3">
        <v>713.17</v>
      </c>
      <c r="U1086" s="3">
        <v>307.52</v>
      </c>
      <c r="V1086" s="3">
        <v>283.98</v>
      </c>
      <c r="W1086" s="3">
        <v>121.67</v>
      </c>
    </row>
    <row r="1087" spans="1:23" ht="36.75">
      <c r="A1087" s="3" t="s">
        <v>23</v>
      </c>
      <c r="B1087" s="3" t="s">
        <v>24</v>
      </c>
      <c r="C1087" s="3" t="s">
        <v>35</v>
      </c>
      <c r="D1087" s="3" t="s">
        <v>43</v>
      </c>
      <c r="E1087" s="3" t="s">
        <v>49</v>
      </c>
      <c r="F1087" s="3" t="s">
        <v>276</v>
      </c>
      <c r="G1087" s="3">
        <v>2016</v>
      </c>
      <c r="H1087" s="3" t="str">
        <f>CONCATENATE("64240649448")</f>
        <v>64240649448</v>
      </c>
      <c r="I1087" s="3" t="s">
        <v>25</v>
      </c>
      <c r="J1087" s="3" t="s">
        <v>26</v>
      </c>
      <c r="K1087" s="3" t="str">
        <f t="shared" si="37"/>
        <v/>
      </c>
      <c r="L1087" s="3" t="str">
        <f>CONCATENATE("11 11.2 4b")</f>
        <v>11 11.2 4b</v>
      </c>
      <c r="M1087" s="3" t="str">
        <f>CONCATENATE("02099510410")</f>
        <v>02099510410</v>
      </c>
      <c r="N1087" s="3" t="s">
        <v>1178</v>
      </c>
      <c r="O1087" s="3"/>
      <c r="P1087" s="4">
        <v>42783</v>
      </c>
      <c r="Q1087" s="3" t="s">
        <v>27</v>
      </c>
      <c r="R1087" s="3" t="s">
        <v>28</v>
      </c>
      <c r="S1087" s="3" t="s">
        <v>29</v>
      </c>
      <c r="T1087" s="3">
        <v>534.87</v>
      </c>
      <c r="U1087" s="3">
        <v>230.64</v>
      </c>
      <c r="V1087" s="3">
        <v>212.99</v>
      </c>
      <c r="W1087" s="3">
        <v>91.24</v>
      </c>
    </row>
    <row r="1088" spans="1:23" ht="60.75">
      <c r="A1088" s="3" t="s">
        <v>23</v>
      </c>
      <c r="B1088" s="3" t="s">
        <v>24</v>
      </c>
      <c r="C1088" s="3" t="s">
        <v>35</v>
      </c>
      <c r="D1088" s="3" t="s">
        <v>36</v>
      </c>
      <c r="E1088" s="3" t="s">
        <v>33</v>
      </c>
      <c r="F1088" s="3" t="s">
        <v>192</v>
      </c>
      <c r="G1088" s="3">
        <v>2016</v>
      </c>
      <c r="H1088" s="3" t="str">
        <f>CONCATENATE("64240775011")</f>
        <v>64240775011</v>
      </c>
      <c r="I1088" s="3" t="s">
        <v>25</v>
      </c>
      <c r="J1088" s="3" t="s">
        <v>26</v>
      </c>
      <c r="K1088" s="3" t="str">
        <f t="shared" si="37"/>
        <v/>
      </c>
      <c r="L1088" s="3" t="str">
        <f>CONCATENATE("11 11.2 4b")</f>
        <v>11 11.2 4b</v>
      </c>
      <c r="M1088" s="3" t="str">
        <f>CONCATENATE("DSLNTN61D16F415G")</f>
        <v>DSLNTN61D16F415G</v>
      </c>
      <c r="N1088" s="3" t="s">
        <v>1179</v>
      </c>
      <c r="O1088" s="3"/>
      <c r="P1088" s="4">
        <v>42783</v>
      </c>
      <c r="Q1088" s="3" t="s">
        <v>27</v>
      </c>
      <c r="R1088" s="3" t="s">
        <v>28</v>
      </c>
      <c r="S1088" s="3" t="s">
        <v>29</v>
      </c>
      <c r="T1088" s="5">
        <v>1071.02</v>
      </c>
      <c r="U1088" s="3">
        <v>461.82</v>
      </c>
      <c r="V1088" s="3">
        <v>426.48</v>
      </c>
      <c r="W1088" s="3">
        <v>182.72</v>
      </c>
    </row>
    <row r="1089" spans="1:23" ht="36.75">
      <c r="A1089" s="3" t="s">
        <v>23</v>
      </c>
      <c r="B1089" s="3" t="s">
        <v>24</v>
      </c>
      <c r="C1089" s="3" t="s">
        <v>35</v>
      </c>
      <c r="D1089" s="3" t="s">
        <v>39</v>
      </c>
      <c r="E1089" s="3" t="s">
        <v>30</v>
      </c>
      <c r="F1089" s="3" t="s">
        <v>40</v>
      </c>
      <c r="G1089" s="3">
        <v>2016</v>
      </c>
      <c r="H1089" s="3" t="str">
        <f>CONCATENATE("64240340857")</f>
        <v>64240340857</v>
      </c>
      <c r="I1089" s="3" t="s">
        <v>25</v>
      </c>
      <c r="J1089" s="3" t="s">
        <v>26</v>
      </c>
      <c r="K1089" s="3" t="str">
        <f t="shared" si="37"/>
        <v/>
      </c>
      <c r="L1089" s="3" t="str">
        <f>CONCATENATE("10 10.1 4a")</f>
        <v>10 10.1 4a</v>
      </c>
      <c r="M1089" s="3" t="str">
        <f>CONCATENATE("02426410425")</f>
        <v>02426410425</v>
      </c>
      <c r="N1089" s="3" t="s">
        <v>1180</v>
      </c>
      <c r="O1089" s="3"/>
      <c r="P1089" s="4">
        <v>42783</v>
      </c>
      <c r="Q1089" s="3" t="s">
        <v>27</v>
      </c>
      <c r="R1089" s="3" t="s">
        <v>28</v>
      </c>
      <c r="S1089" s="3" t="s">
        <v>29</v>
      </c>
      <c r="T1089" s="5">
        <v>1187.6300000000001</v>
      </c>
      <c r="U1089" s="3">
        <v>512.11</v>
      </c>
      <c r="V1089" s="3">
        <v>472.91</v>
      </c>
      <c r="W1089" s="3">
        <v>202.61</v>
      </c>
    </row>
    <row r="1090" spans="1:23" ht="60.75">
      <c r="A1090" s="3" t="s">
        <v>23</v>
      </c>
      <c r="B1090" s="3" t="s">
        <v>24</v>
      </c>
      <c r="C1090" s="3" t="s">
        <v>35</v>
      </c>
      <c r="D1090" s="3" t="s">
        <v>43</v>
      </c>
      <c r="E1090" s="3" t="s">
        <v>30</v>
      </c>
      <c r="F1090" s="3" t="s">
        <v>131</v>
      </c>
      <c r="G1090" s="3">
        <v>2016</v>
      </c>
      <c r="H1090" s="3" t="str">
        <f>CONCATENATE("64240411757")</f>
        <v>64240411757</v>
      </c>
      <c r="I1090" s="3" t="s">
        <v>25</v>
      </c>
      <c r="J1090" s="3" t="s">
        <v>26</v>
      </c>
      <c r="K1090" s="3" t="str">
        <f t="shared" si="37"/>
        <v/>
      </c>
      <c r="L1090" s="3" t="str">
        <f>CONCATENATE("11 11.1 4b")</f>
        <v>11 11.1 4b</v>
      </c>
      <c r="M1090" s="3" t="str">
        <f>CONCATENATE("CCHSFN63R25D488S")</f>
        <v>CCHSFN63R25D488S</v>
      </c>
      <c r="N1090" s="3" t="s">
        <v>1181</v>
      </c>
      <c r="O1090" s="3"/>
      <c r="P1090" s="4">
        <v>42783</v>
      </c>
      <c r="Q1090" s="3" t="s">
        <v>27</v>
      </c>
      <c r="R1090" s="3" t="s">
        <v>28</v>
      </c>
      <c r="S1090" s="3" t="s">
        <v>29</v>
      </c>
      <c r="T1090" s="5">
        <v>3214.25</v>
      </c>
      <c r="U1090" s="5">
        <v>1385.98</v>
      </c>
      <c r="V1090" s="5">
        <v>1279.9100000000001</v>
      </c>
      <c r="W1090" s="3">
        <v>548.36</v>
      </c>
    </row>
    <row r="1091" spans="1:23" ht="60.75">
      <c r="A1091" s="3" t="s">
        <v>23</v>
      </c>
      <c r="B1091" s="3" t="s">
        <v>24</v>
      </c>
      <c r="C1091" s="3" t="s">
        <v>35</v>
      </c>
      <c r="D1091" s="3" t="s">
        <v>43</v>
      </c>
      <c r="E1091" s="3" t="s">
        <v>33</v>
      </c>
      <c r="F1091" s="3" t="s">
        <v>848</v>
      </c>
      <c r="G1091" s="3">
        <v>2016</v>
      </c>
      <c r="H1091" s="3" t="str">
        <f>CONCATENATE("64210968471")</f>
        <v>64210968471</v>
      </c>
      <c r="I1091" s="3" t="s">
        <v>25</v>
      </c>
      <c r="J1091" s="3" t="s">
        <v>26</v>
      </c>
      <c r="K1091" s="3" t="str">
        <f t="shared" si="37"/>
        <v/>
      </c>
      <c r="L1091" s="3" t="str">
        <f>CONCATENATE("13 13.1 4a")</f>
        <v>13 13.1 4a</v>
      </c>
      <c r="M1091" s="3" t="str">
        <f>CONCATENATE("CNCGNI33B23F467J")</f>
        <v>CNCGNI33B23F467J</v>
      </c>
      <c r="N1091" s="3" t="s">
        <v>1182</v>
      </c>
      <c r="O1091" s="3"/>
      <c r="P1091" s="4">
        <v>42783</v>
      </c>
      <c r="Q1091" s="3" t="s">
        <v>27</v>
      </c>
      <c r="R1091" s="3" t="s">
        <v>28</v>
      </c>
      <c r="S1091" s="3" t="s">
        <v>29</v>
      </c>
      <c r="T1091" s="5">
        <v>1074.8800000000001</v>
      </c>
      <c r="U1091" s="3">
        <v>463.49</v>
      </c>
      <c r="V1091" s="3">
        <v>428.02</v>
      </c>
      <c r="W1091" s="3">
        <v>183.37</v>
      </c>
    </row>
    <row r="1092" spans="1:23" ht="60.75">
      <c r="A1092" s="3" t="s">
        <v>23</v>
      </c>
      <c r="B1092" s="3" t="s">
        <v>24</v>
      </c>
      <c r="C1092" s="3" t="s">
        <v>35</v>
      </c>
      <c r="D1092" s="3" t="s">
        <v>39</v>
      </c>
      <c r="E1092" s="3" t="s">
        <v>30</v>
      </c>
      <c r="F1092" s="3" t="s">
        <v>40</v>
      </c>
      <c r="G1092" s="3">
        <v>2016</v>
      </c>
      <c r="H1092" s="3" t="str">
        <f>CONCATENATE("64240528188")</f>
        <v>64240528188</v>
      </c>
      <c r="I1092" s="3" t="s">
        <v>25</v>
      </c>
      <c r="J1092" s="3" t="s">
        <v>26</v>
      </c>
      <c r="K1092" s="3" t="str">
        <f t="shared" si="37"/>
        <v/>
      </c>
      <c r="L1092" s="3" t="str">
        <f>CONCATENATE("11 11.2 4b")</f>
        <v>11 11.2 4b</v>
      </c>
      <c r="M1092" s="3" t="str">
        <f>CONCATENATE("SCHMBL38L47C060A")</f>
        <v>SCHMBL38L47C060A</v>
      </c>
      <c r="N1092" s="3" t="s">
        <v>1183</v>
      </c>
      <c r="O1092" s="3"/>
      <c r="P1092" s="4">
        <v>42783</v>
      </c>
      <c r="Q1092" s="3" t="s">
        <v>27</v>
      </c>
      <c r="R1092" s="3" t="s">
        <v>28</v>
      </c>
      <c r="S1092" s="3" t="s">
        <v>29</v>
      </c>
      <c r="T1092" s="5">
        <v>6612.03</v>
      </c>
      <c r="U1092" s="5">
        <v>2851.11</v>
      </c>
      <c r="V1092" s="5">
        <v>2632.91</v>
      </c>
      <c r="W1092" s="5">
        <v>1128.01</v>
      </c>
    </row>
    <row r="1093" spans="1:23" ht="72.75">
      <c r="A1093" s="3" t="s">
        <v>23</v>
      </c>
      <c r="B1093" s="3" t="s">
        <v>24</v>
      </c>
      <c r="C1093" s="3" t="s">
        <v>35</v>
      </c>
      <c r="D1093" s="3" t="s">
        <v>43</v>
      </c>
      <c r="E1093" s="3" t="s">
        <v>30</v>
      </c>
      <c r="F1093" s="3" t="s">
        <v>199</v>
      </c>
      <c r="G1093" s="3">
        <v>2016</v>
      </c>
      <c r="H1093" s="3" t="str">
        <f>CONCATENATE("64240726261")</f>
        <v>64240726261</v>
      </c>
      <c r="I1093" s="3" t="s">
        <v>25</v>
      </c>
      <c r="J1093" s="3" t="s">
        <v>26</v>
      </c>
      <c r="K1093" s="3" t="str">
        <f t="shared" si="37"/>
        <v/>
      </c>
      <c r="L1093" s="3" t="str">
        <f>CONCATENATE("11 11.2 4b")</f>
        <v>11 11.2 4b</v>
      </c>
      <c r="M1093" s="3" t="str">
        <f>CONCATENATE("RBNNMR44H64I285A")</f>
        <v>RBNNMR44H64I285A</v>
      </c>
      <c r="N1093" s="3" t="s">
        <v>1184</v>
      </c>
      <c r="O1093" s="3"/>
      <c r="P1093" s="4">
        <v>42783</v>
      </c>
      <c r="Q1093" s="3" t="s">
        <v>27</v>
      </c>
      <c r="R1093" s="3" t="s">
        <v>28</v>
      </c>
      <c r="S1093" s="3" t="s">
        <v>29</v>
      </c>
      <c r="T1093" s="5">
        <v>1381.82</v>
      </c>
      <c r="U1093" s="3">
        <v>595.84</v>
      </c>
      <c r="V1093" s="3">
        <v>550.24</v>
      </c>
      <c r="W1093" s="3">
        <v>235.74</v>
      </c>
    </row>
    <row r="1094" spans="1:23" ht="36.75">
      <c r="A1094" s="3" t="s">
        <v>23</v>
      </c>
      <c r="B1094" s="3" t="s">
        <v>24</v>
      </c>
      <c r="C1094" s="3" t="s">
        <v>35</v>
      </c>
      <c r="D1094" s="3" t="s">
        <v>43</v>
      </c>
      <c r="E1094" s="3" t="s">
        <v>30</v>
      </c>
      <c r="F1094" s="3" t="s">
        <v>124</v>
      </c>
      <c r="G1094" s="3">
        <v>2016</v>
      </c>
      <c r="H1094" s="3" t="str">
        <f>CONCATENATE("64210409039")</f>
        <v>64210409039</v>
      </c>
      <c r="I1094" s="3" t="s">
        <v>25</v>
      </c>
      <c r="J1094" s="3" t="s">
        <v>26</v>
      </c>
      <c r="K1094" s="3" t="str">
        <f t="shared" si="37"/>
        <v/>
      </c>
      <c r="L1094" s="3" t="str">
        <f>CONCATENATE("13 13.1 4a")</f>
        <v>13 13.1 4a</v>
      </c>
      <c r="M1094" s="3" t="str">
        <f>CONCATENATE("01358310413")</f>
        <v>01358310413</v>
      </c>
      <c r="N1094" s="3" t="s">
        <v>1185</v>
      </c>
      <c r="O1094" s="3"/>
      <c r="P1094" s="4">
        <v>42783</v>
      </c>
      <c r="Q1094" s="3" t="s">
        <v>27</v>
      </c>
      <c r="R1094" s="3" t="s">
        <v>28</v>
      </c>
      <c r="S1094" s="3" t="s">
        <v>29</v>
      </c>
      <c r="T1094" s="5">
        <v>4590</v>
      </c>
      <c r="U1094" s="5">
        <v>1979.21</v>
      </c>
      <c r="V1094" s="5">
        <v>1827.74</v>
      </c>
      <c r="W1094" s="3">
        <v>783.05</v>
      </c>
    </row>
    <row r="1095" spans="1:23" ht="60.75">
      <c r="A1095" s="3" t="s">
        <v>23</v>
      </c>
      <c r="B1095" s="3" t="s">
        <v>24</v>
      </c>
      <c r="C1095" s="3" t="s">
        <v>35</v>
      </c>
      <c r="D1095" s="3" t="s">
        <v>43</v>
      </c>
      <c r="E1095" s="3" t="s">
        <v>49</v>
      </c>
      <c r="F1095" s="3" t="s">
        <v>276</v>
      </c>
      <c r="G1095" s="3">
        <v>2016</v>
      </c>
      <c r="H1095" s="3" t="str">
        <f>CONCATENATE("64240169249")</f>
        <v>64240169249</v>
      </c>
      <c r="I1095" s="3" t="s">
        <v>25</v>
      </c>
      <c r="J1095" s="3" t="s">
        <v>26</v>
      </c>
      <c r="K1095" s="3" t="str">
        <f t="shared" si="37"/>
        <v/>
      </c>
      <c r="L1095" s="3" t="str">
        <f>CONCATENATE("11 11.2 4b")</f>
        <v>11 11.2 4b</v>
      </c>
      <c r="M1095" s="3" t="str">
        <f>CONCATENATE("BTTLSN56E17G551J")</f>
        <v>BTTLSN56E17G551J</v>
      </c>
      <c r="N1095" s="3" t="s">
        <v>1186</v>
      </c>
      <c r="O1095" s="3"/>
      <c r="P1095" s="4">
        <v>42783</v>
      </c>
      <c r="Q1095" s="3" t="s">
        <v>27</v>
      </c>
      <c r="R1095" s="3" t="s">
        <v>28</v>
      </c>
      <c r="S1095" s="3" t="s">
        <v>29</v>
      </c>
      <c r="T1095" s="5">
        <v>1827.76</v>
      </c>
      <c r="U1095" s="3">
        <v>788.13</v>
      </c>
      <c r="V1095" s="3">
        <v>727.81</v>
      </c>
      <c r="W1095" s="3">
        <v>311.82</v>
      </c>
    </row>
    <row r="1096" spans="1:23" ht="60.75">
      <c r="A1096" s="3" t="s">
        <v>23</v>
      </c>
      <c r="B1096" s="3" t="s">
        <v>24</v>
      </c>
      <c r="C1096" s="3" t="s">
        <v>35</v>
      </c>
      <c r="D1096" s="3" t="s">
        <v>48</v>
      </c>
      <c r="E1096" s="3" t="s">
        <v>49</v>
      </c>
      <c r="F1096" s="3" t="s">
        <v>50</v>
      </c>
      <c r="G1096" s="3">
        <v>2016</v>
      </c>
      <c r="H1096" s="3" t="str">
        <f>CONCATENATE("64240242954")</f>
        <v>64240242954</v>
      </c>
      <c r="I1096" s="3" t="s">
        <v>25</v>
      </c>
      <c r="J1096" s="3" t="s">
        <v>26</v>
      </c>
      <c r="K1096" s="3" t="str">
        <f t="shared" si="37"/>
        <v/>
      </c>
      <c r="L1096" s="3" t="str">
        <f>CONCATENATE("11 11.2 4b")</f>
        <v>11 11.2 4b</v>
      </c>
      <c r="M1096" s="3" t="str">
        <f>CONCATENATE("DNGPLA74L02I156I")</f>
        <v>DNGPLA74L02I156I</v>
      </c>
      <c r="N1096" s="3" t="s">
        <v>1187</v>
      </c>
      <c r="O1096" s="3"/>
      <c r="P1096" s="4">
        <v>42783</v>
      </c>
      <c r="Q1096" s="3" t="s">
        <v>27</v>
      </c>
      <c r="R1096" s="3" t="s">
        <v>28</v>
      </c>
      <c r="S1096" s="3" t="s">
        <v>29</v>
      </c>
      <c r="T1096" s="5">
        <v>4916.75</v>
      </c>
      <c r="U1096" s="5">
        <v>2120.1</v>
      </c>
      <c r="V1096" s="5">
        <v>1957.85</v>
      </c>
      <c r="W1096" s="3">
        <v>838.8</v>
      </c>
    </row>
    <row r="1097" spans="1:23" ht="60.75">
      <c r="A1097" s="3" t="s">
        <v>23</v>
      </c>
      <c r="B1097" s="3" t="s">
        <v>24</v>
      </c>
      <c r="C1097" s="3" t="s">
        <v>35</v>
      </c>
      <c r="D1097" s="3" t="s">
        <v>43</v>
      </c>
      <c r="E1097" s="3" t="s">
        <v>49</v>
      </c>
      <c r="F1097" s="3" t="s">
        <v>276</v>
      </c>
      <c r="G1097" s="3">
        <v>2016</v>
      </c>
      <c r="H1097" s="3" t="str">
        <f>CONCATENATE("64240353413")</f>
        <v>64240353413</v>
      </c>
      <c r="I1097" s="3" t="s">
        <v>25</v>
      </c>
      <c r="J1097" s="3" t="s">
        <v>26</v>
      </c>
      <c r="K1097" s="3" t="str">
        <f t="shared" si="37"/>
        <v/>
      </c>
      <c r="L1097" s="3" t="str">
        <f>CONCATENATE("11 11.2 4b")</f>
        <v>11 11.2 4b</v>
      </c>
      <c r="M1097" s="3" t="str">
        <f>CONCATENATE("BNCSFN71B18L500V")</f>
        <v>BNCSFN71B18L500V</v>
      </c>
      <c r="N1097" s="3" t="s">
        <v>1188</v>
      </c>
      <c r="O1097" s="3"/>
      <c r="P1097" s="4">
        <v>42783</v>
      </c>
      <c r="Q1097" s="3" t="s">
        <v>27</v>
      </c>
      <c r="R1097" s="3" t="s">
        <v>28</v>
      </c>
      <c r="S1097" s="3" t="s">
        <v>29</v>
      </c>
      <c r="T1097" s="5">
        <v>1660.09</v>
      </c>
      <c r="U1097" s="3">
        <v>715.83</v>
      </c>
      <c r="V1097" s="3">
        <v>661.05</v>
      </c>
      <c r="W1097" s="3">
        <v>283.20999999999998</v>
      </c>
    </row>
    <row r="1098" spans="1:23" ht="60.75">
      <c r="A1098" s="3" t="s">
        <v>23</v>
      </c>
      <c r="B1098" s="3" t="s">
        <v>24</v>
      </c>
      <c r="C1098" s="3" t="s">
        <v>35</v>
      </c>
      <c r="D1098" s="3" t="s">
        <v>43</v>
      </c>
      <c r="E1098" s="3" t="s">
        <v>33</v>
      </c>
      <c r="F1098" s="3" t="s">
        <v>848</v>
      </c>
      <c r="G1098" s="3">
        <v>2016</v>
      </c>
      <c r="H1098" s="3" t="str">
        <f>CONCATENATE("64240746723")</f>
        <v>64240746723</v>
      </c>
      <c r="I1098" s="3" t="s">
        <v>25</v>
      </c>
      <c r="J1098" s="3" t="s">
        <v>26</v>
      </c>
      <c r="K1098" s="3" t="str">
        <f t="shared" si="37"/>
        <v/>
      </c>
      <c r="L1098" s="3" t="str">
        <f>CONCATENATE("11 11.2 4b")</f>
        <v>11 11.2 4b</v>
      </c>
      <c r="M1098" s="3" t="str">
        <f>CONCATENATE("CNCLGU57A24I459O")</f>
        <v>CNCLGU57A24I459O</v>
      </c>
      <c r="N1098" s="3" t="s">
        <v>1189</v>
      </c>
      <c r="O1098" s="3"/>
      <c r="P1098" s="4">
        <v>42783</v>
      </c>
      <c r="Q1098" s="3" t="s">
        <v>27</v>
      </c>
      <c r="R1098" s="3" t="s">
        <v>28</v>
      </c>
      <c r="S1098" s="3" t="s">
        <v>29</v>
      </c>
      <c r="T1098" s="5">
        <v>11523.4</v>
      </c>
      <c r="U1098" s="5">
        <v>4968.8900000000003</v>
      </c>
      <c r="V1098" s="5">
        <v>4588.62</v>
      </c>
      <c r="W1098" s="5">
        <v>1965.89</v>
      </c>
    </row>
    <row r="1099" spans="1:23" ht="60.75">
      <c r="A1099" s="3" t="s">
        <v>23</v>
      </c>
      <c r="B1099" s="3" t="s">
        <v>24</v>
      </c>
      <c r="C1099" s="3" t="s">
        <v>35</v>
      </c>
      <c r="D1099" s="3" t="s">
        <v>48</v>
      </c>
      <c r="E1099" s="3" t="s">
        <v>34</v>
      </c>
      <c r="F1099" s="3" t="s">
        <v>141</v>
      </c>
      <c r="G1099" s="3">
        <v>2016</v>
      </c>
      <c r="H1099" s="3" t="str">
        <f>CONCATENATE("64240740353")</f>
        <v>64240740353</v>
      </c>
      <c r="I1099" s="3" t="s">
        <v>25</v>
      </c>
      <c r="J1099" s="3" t="s">
        <v>26</v>
      </c>
      <c r="K1099" s="3" t="str">
        <f t="shared" si="37"/>
        <v/>
      </c>
      <c r="L1099" s="3" t="str">
        <f>CONCATENATE("11 11.2 4b")</f>
        <v>11 11.2 4b</v>
      </c>
      <c r="M1099" s="3" t="str">
        <f>CONCATENATE("PSCGLN61T71L191C")</f>
        <v>PSCGLN61T71L191C</v>
      </c>
      <c r="N1099" s="3" t="s">
        <v>1190</v>
      </c>
      <c r="O1099" s="3"/>
      <c r="P1099" s="4">
        <v>42783</v>
      </c>
      <c r="Q1099" s="3" t="s">
        <v>27</v>
      </c>
      <c r="R1099" s="3" t="s">
        <v>28</v>
      </c>
      <c r="S1099" s="3" t="s">
        <v>29</v>
      </c>
      <c r="T1099" s="5">
        <v>2308.06</v>
      </c>
      <c r="U1099" s="3">
        <v>995.24</v>
      </c>
      <c r="V1099" s="3">
        <v>919.07</v>
      </c>
      <c r="W1099" s="3">
        <v>393.75</v>
      </c>
    </row>
    <row r="1100" spans="1:23" ht="60.75">
      <c r="A1100" s="3" t="s">
        <v>23</v>
      </c>
      <c r="B1100" s="3" t="s">
        <v>24</v>
      </c>
      <c r="C1100" s="3" t="s">
        <v>35</v>
      </c>
      <c r="D1100" s="3" t="s">
        <v>36</v>
      </c>
      <c r="E1100" s="3" t="s">
        <v>30</v>
      </c>
      <c r="F1100" s="3" t="s">
        <v>86</v>
      </c>
      <c r="G1100" s="3">
        <v>2016</v>
      </c>
      <c r="H1100" s="3" t="str">
        <f>CONCATENATE("64240803854")</f>
        <v>64240803854</v>
      </c>
      <c r="I1100" s="3" t="s">
        <v>25</v>
      </c>
      <c r="J1100" s="3" t="s">
        <v>26</v>
      </c>
      <c r="K1100" s="3" t="str">
        <f t="shared" si="37"/>
        <v/>
      </c>
      <c r="L1100" s="3" t="str">
        <f>CONCATENATE("11 11.1 4b")</f>
        <v>11 11.1 4b</v>
      </c>
      <c r="M1100" s="3" t="str">
        <f>CONCATENATE("PNCMHL87S01A462P")</f>
        <v>PNCMHL87S01A462P</v>
      </c>
      <c r="N1100" s="3" t="s">
        <v>1191</v>
      </c>
      <c r="O1100" s="3"/>
      <c r="P1100" s="4">
        <v>42783</v>
      </c>
      <c r="Q1100" s="3" t="s">
        <v>27</v>
      </c>
      <c r="R1100" s="3" t="s">
        <v>28</v>
      </c>
      <c r="S1100" s="3" t="s">
        <v>29</v>
      </c>
      <c r="T1100" s="5">
        <v>2357.4499999999998</v>
      </c>
      <c r="U1100" s="5">
        <v>1016.53</v>
      </c>
      <c r="V1100" s="3">
        <v>938.74</v>
      </c>
      <c r="W1100" s="3">
        <v>402.18</v>
      </c>
    </row>
    <row r="1101" spans="1:23" ht="36.75">
      <c r="A1101" s="3" t="s">
        <v>23</v>
      </c>
      <c r="B1101" s="3" t="s">
        <v>24</v>
      </c>
      <c r="C1101" s="3" t="s">
        <v>35</v>
      </c>
      <c r="D1101" s="3" t="s">
        <v>43</v>
      </c>
      <c r="E1101" s="3" t="s">
        <v>49</v>
      </c>
      <c r="F1101" s="3" t="s">
        <v>276</v>
      </c>
      <c r="G1101" s="3">
        <v>2016</v>
      </c>
      <c r="H1101" s="3" t="str">
        <f>CONCATENATE("64240494324")</f>
        <v>64240494324</v>
      </c>
      <c r="I1101" s="3" t="s">
        <v>25</v>
      </c>
      <c r="J1101" s="3" t="s">
        <v>26</v>
      </c>
      <c r="K1101" s="3" t="str">
        <f t="shared" si="37"/>
        <v/>
      </c>
      <c r="L1101" s="3" t="str">
        <f>CONCATENATE("11 11.2 4b")</f>
        <v>11 11.2 4b</v>
      </c>
      <c r="M1101" s="3" t="str">
        <f>CONCATENATE("02144380413")</f>
        <v>02144380413</v>
      </c>
      <c r="N1101" s="3" t="s">
        <v>1192</v>
      </c>
      <c r="O1101" s="3"/>
      <c r="P1101" s="4">
        <v>42783</v>
      </c>
      <c r="Q1101" s="3" t="s">
        <v>27</v>
      </c>
      <c r="R1101" s="3" t="s">
        <v>28</v>
      </c>
      <c r="S1101" s="3" t="s">
        <v>29</v>
      </c>
      <c r="T1101" s="5">
        <v>1123.98</v>
      </c>
      <c r="U1101" s="3">
        <v>484.66</v>
      </c>
      <c r="V1101" s="3">
        <v>447.57</v>
      </c>
      <c r="W1101" s="3">
        <v>191.75</v>
      </c>
    </row>
    <row r="1102" spans="1:23" ht="60.75">
      <c r="A1102" s="3" t="s">
        <v>23</v>
      </c>
      <c r="B1102" s="3" t="s">
        <v>24</v>
      </c>
      <c r="C1102" s="3" t="s">
        <v>35</v>
      </c>
      <c r="D1102" s="3" t="s">
        <v>43</v>
      </c>
      <c r="E1102" s="3" t="s">
        <v>34</v>
      </c>
      <c r="F1102" s="3" t="s">
        <v>146</v>
      </c>
      <c r="G1102" s="3">
        <v>2016</v>
      </c>
      <c r="H1102" s="3" t="str">
        <f>CONCATENATE("64240595203")</f>
        <v>64240595203</v>
      </c>
      <c r="I1102" s="3" t="s">
        <v>25</v>
      </c>
      <c r="J1102" s="3" t="s">
        <v>26</v>
      </c>
      <c r="K1102" s="3" t="str">
        <f t="shared" si="37"/>
        <v/>
      </c>
      <c r="L1102" s="3" t="str">
        <f>CONCATENATE("11 11.2 4b")</f>
        <v>11 11.2 4b</v>
      </c>
      <c r="M1102" s="3" t="str">
        <f>CONCATENATE("RRSMRA54M13E441N")</f>
        <v>RRSMRA54M13E441N</v>
      </c>
      <c r="N1102" s="3" t="s">
        <v>1193</v>
      </c>
      <c r="O1102" s="3"/>
      <c r="P1102" s="4">
        <v>42783</v>
      </c>
      <c r="Q1102" s="3" t="s">
        <v>27</v>
      </c>
      <c r="R1102" s="3" t="s">
        <v>28</v>
      </c>
      <c r="S1102" s="3" t="s">
        <v>29</v>
      </c>
      <c r="T1102" s="5">
        <v>1339.79</v>
      </c>
      <c r="U1102" s="3">
        <v>577.72</v>
      </c>
      <c r="V1102" s="3">
        <v>533.5</v>
      </c>
      <c r="W1102" s="3">
        <v>228.57</v>
      </c>
    </row>
    <row r="1103" spans="1:23" ht="72.75">
      <c r="A1103" s="3" t="s">
        <v>23</v>
      </c>
      <c r="B1103" s="3" t="s">
        <v>24</v>
      </c>
      <c r="C1103" s="3" t="s">
        <v>35</v>
      </c>
      <c r="D1103" s="3" t="s">
        <v>43</v>
      </c>
      <c r="E1103" s="3" t="s">
        <v>30</v>
      </c>
      <c r="F1103" s="3" t="s">
        <v>113</v>
      </c>
      <c r="G1103" s="3">
        <v>2016</v>
      </c>
      <c r="H1103" s="3" t="str">
        <f>CONCATENATE("64210997223")</f>
        <v>64210997223</v>
      </c>
      <c r="I1103" s="3" t="s">
        <v>25</v>
      </c>
      <c r="J1103" s="3" t="s">
        <v>26</v>
      </c>
      <c r="K1103" s="3" t="str">
        <f t="shared" si="37"/>
        <v/>
      </c>
      <c r="L1103" s="3" t="str">
        <f>CONCATENATE("13 13.1 4a")</f>
        <v>13 13.1 4a</v>
      </c>
      <c r="M1103" s="3" t="str">
        <f>CONCATENATE("CRLMSM72T07B352A")</f>
        <v>CRLMSM72T07B352A</v>
      </c>
      <c r="N1103" s="3" t="s">
        <v>924</v>
      </c>
      <c r="O1103" s="3"/>
      <c r="P1103" s="4">
        <v>42783</v>
      </c>
      <c r="Q1103" s="3" t="s">
        <v>27</v>
      </c>
      <c r="R1103" s="3" t="s">
        <v>28</v>
      </c>
      <c r="S1103" s="3" t="s">
        <v>29</v>
      </c>
      <c r="T1103" s="5">
        <v>3775.81</v>
      </c>
      <c r="U1103" s="5">
        <v>1628.13</v>
      </c>
      <c r="V1103" s="5">
        <v>1503.53</v>
      </c>
      <c r="W1103" s="3">
        <v>644.15</v>
      </c>
    </row>
    <row r="1104" spans="1:23" ht="60.75">
      <c r="A1104" s="3" t="s">
        <v>23</v>
      </c>
      <c r="B1104" s="3" t="s">
        <v>24</v>
      </c>
      <c r="C1104" s="3" t="s">
        <v>35</v>
      </c>
      <c r="D1104" s="3" t="s">
        <v>43</v>
      </c>
      <c r="E1104" s="3" t="s">
        <v>32</v>
      </c>
      <c r="F1104" s="3" t="s">
        <v>78</v>
      </c>
      <c r="G1104" s="3">
        <v>2016</v>
      </c>
      <c r="H1104" s="3" t="str">
        <f>CONCATENATE("64240560371")</f>
        <v>64240560371</v>
      </c>
      <c r="I1104" s="3" t="s">
        <v>25</v>
      </c>
      <c r="J1104" s="3" t="s">
        <v>26</v>
      </c>
      <c r="K1104" s="3" t="str">
        <f t="shared" si="37"/>
        <v/>
      </c>
      <c r="L1104" s="3" t="str">
        <f>CONCATENATE("11 11.2 4b")</f>
        <v>11 11.2 4b</v>
      </c>
      <c r="M1104" s="3" t="str">
        <f>CONCATENATE("GNSVNC51T18L500A")</f>
        <v>GNSVNC51T18L500A</v>
      </c>
      <c r="N1104" s="3" t="s">
        <v>1194</v>
      </c>
      <c r="O1104" s="3"/>
      <c r="P1104" s="4">
        <v>42783</v>
      </c>
      <c r="Q1104" s="3" t="s">
        <v>27</v>
      </c>
      <c r="R1104" s="3" t="s">
        <v>28</v>
      </c>
      <c r="S1104" s="3" t="s">
        <v>29</v>
      </c>
      <c r="T1104" s="5">
        <v>1914.41</v>
      </c>
      <c r="U1104" s="3">
        <v>825.49</v>
      </c>
      <c r="V1104" s="3">
        <v>762.32</v>
      </c>
      <c r="W1104" s="3">
        <v>326.60000000000002</v>
      </c>
    </row>
    <row r="1105" spans="1:23" ht="60.75">
      <c r="A1105" s="3" t="s">
        <v>23</v>
      </c>
      <c r="B1105" s="3" t="s">
        <v>24</v>
      </c>
      <c r="C1105" s="3" t="s">
        <v>35</v>
      </c>
      <c r="D1105" s="3" t="s">
        <v>48</v>
      </c>
      <c r="E1105" s="3" t="s">
        <v>30</v>
      </c>
      <c r="F1105" s="3" t="s">
        <v>91</v>
      </c>
      <c r="G1105" s="3">
        <v>2016</v>
      </c>
      <c r="H1105" s="3" t="str">
        <f>CONCATENATE("64240315404")</f>
        <v>64240315404</v>
      </c>
      <c r="I1105" s="3" t="s">
        <v>25</v>
      </c>
      <c r="J1105" s="3" t="s">
        <v>26</v>
      </c>
      <c r="K1105" s="3" t="str">
        <f t="shared" si="37"/>
        <v/>
      </c>
      <c r="L1105" s="3" t="str">
        <f>CONCATENATE("11 11.2 4b")</f>
        <v>11 11.2 4b</v>
      </c>
      <c r="M1105" s="3" t="str">
        <f>CONCATENATE("CNTCLD44E18H501Z")</f>
        <v>CNTCLD44E18H501Z</v>
      </c>
      <c r="N1105" s="3" t="s">
        <v>1195</v>
      </c>
      <c r="O1105" s="3"/>
      <c r="P1105" s="4">
        <v>42783</v>
      </c>
      <c r="Q1105" s="3" t="s">
        <v>27</v>
      </c>
      <c r="R1105" s="3" t="s">
        <v>28</v>
      </c>
      <c r="S1105" s="3" t="s">
        <v>29</v>
      </c>
      <c r="T1105" s="5">
        <v>1189.1099999999999</v>
      </c>
      <c r="U1105" s="3">
        <v>512.74</v>
      </c>
      <c r="V1105" s="3">
        <v>473.5</v>
      </c>
      <c r="W1105" s="3">
        <v>202.87</v>
      </c>
    </row>
    <row r="1106" spans="1:23" ht="36.75">
      <c r="A1106" s="3" t="s">
        <v>23</v>
      </c>
      <c r="B1106" s="3" t="s">
        <v>24</v>
      </c>
      <c r="C1106" s="3" t="s">
        <v>35</v>
      </c>
      <c r="D1106" s="3" t="s">
        <v>48</v>
      </c>
      <c r="E1106" s="3" t="s">
        <v>30</v>
      </c>
      <c r="F1106" s="3" t="s">
        <v>91</v>
      </c>
      <c r="G1106" s="3">
        <v>2016</v>
      </c>
      <c r="H1106" s="3" t="str">
        <f>CONCATENATE("64240289286")</f>
        <v>64240289286</v>
      </c>
      <c r="I1106" s="3" t="s">
        <v>25</v>
      </c>
      <c r="J1106" s="3" t="s">
        <v>26</v>
      </c>
      <c r="K1106" s="3" t="str">
        <f t="shared" si="37"/>
        <v/>
      </c>
      <c r="L1106" s="3" t="str">
        <f>CONCATENATE("11 11.2 4b")</f>
        <v>11 11.2 4b</v>
      </c>
      <c r="M1106" s="3" t="str">
        <f>CONCATENATE("00395910433")</f>
        <v>00395910433</v>
      </c>
      <c r="N1106" s="3" t="s">
        <v>1196</v>
      </c>
      <c r="O1106" s="3"/>
      <c r="P1106" s="4">
        <v>42783</v>
      </c>
      <c r="Q1106" s="3" t="s">
        <v>27</v>
      </c>
      <c r="R1106" s="3" t="s">
        <v>28</v>
      </c>
      <c r="S1106" s="3" t="s">
        <v>29</v>
      </c>
      <c r="T1106" s="5">
        <v>6622.8</v>
      </c>
      <c r="U1106" s="5">
        <v>2855.75</v>
      </c>
      <c r="V1106" s="5">
        <v>2637.2</v>
      </c>
      <c r="W1106" s="5">
        <v>1129.8499999999999</v>
      </c>
    </row>
    <row r="1107" spans="1:23" ht="60.75">
      <c r="A1107" s="3" t="s">
        <v>23</v>
      </c>
      <c r="B1107" s="3" t="s">
        <v>24</v>
      </c>
      <c r="C1107" s="3" t="s">
        <v>35</v>
      </c>
      <c r="D1107" s="3" t="s">
        <v>36</v>
      </c>
      <c r="E1107" s="3" t="s">
        <v>42</v>
      </c>
      <c r="F1107" s="3" t="s">
        <v>42</v>
      </c>
      <c r="G1107" s="3">
        <v>2016</v>
      </c>
      <c r="H1107" s="3" t="str">
        <f>CONCATENATE("64240114898")</f>
        <v>64240114898</v>
      </c>
      <c r="I1107" s="3" t="s">
        <v>25</v>
      </c>
      <c r="J1107" s="3" t="s">
        <v>26</v>
      </c>
      <c r="K1107" s="3" t="str">
        <f t="shared" si="37"/>
        <v/>
      </c>
      <c r="L1107" s="3" t="str">
        <f>CONCATENATE("11 11.2 4b")</f>
        <v>11 11.2 4b</v>
      </c>
      <c r="M1107" s="3" t="str">
        <f>CONCATENATE("PLNLGU53C23B727R")</f>
        <v>PLNLGU53C23B727R</v>
      </c>
      <c r="N1107" s="3" t="s">
        <v>1197</v>
      </c>
      <c r="O1107" s="3"/>
      <c r="P1107" s="4">
        <v>42783</v>
      </c>
      <c r="Q1107" s="3" t="s">
        <v>27</v>
      </c>
      <c r="R1107" s="3" t="s">
        <v>28</v>
      </c>
      <c r="S1107" s="3" t="s">
        <v>29</v>
      </c>
      <c r="T1107" s="5">
        <v>12111.99</v>
      </c>
      <c r="U1107" s="5">
        <v>5222.6899999999996</v>
      </c>
      <c r="V1107" s="5">
        <v>4822.99</v>
      </c>
      <c r="W1107" s="5">
        <v>2066.31</v>
      </c>
    </row>
    <row r="1108" spans="1:23" ht="36.75">
      <c r="A1108" s="3" t="s">
        <v>23</v>
      </c>
      <c r="B1108" s="3" t="s">
        <v>24</v>
      </c>
      <c r="C1108" s="3" t="s">
        <v>35</v>
      </c>
      <c r="D1108" s="3" t="s">
        <v>43</v>
      </c>
      <c r="E1108" s="3" t="s">
        <v>34</v>
      </c>
      <c r="F1108" s="3" t="s">
        <v>146</v>
      </c>
      <c r="G1108" s="3">
        <v>2016</v>
      </c>
      <c r="H1108" s="3" t="str">
        <f>CONCATENATE("64240413258")</f>
        <v>64240413258</v>
      </c>
      <c r="I1108" s="3" t="s">
        <v>25</v>
      </c>
      <c r="J1108" s="3" t="s">
        <v>26</v>
      </c>
      <c r="K1108" s="3" t="str">
        <f t="shared" si="37"/>
        <v/>
      </c>
      <c r="L1108" s="3" t="str">
        <f>CONCATENATE("11 11.1 4b")</f>
        <v>11 11.1 4b</v>
      </c>
      <c r="M1108" s="3" t="str">
        <f>CONCATENATE("02585740414")</f>
        <v>02585740414</v>
      </c>
      <c r="N1108" s="3" t="s">
        <v>461</v>
      </c>
      <c r="O1108" s="3"/>
      <c r="P1108" s="4">
        <v>42783</v>
      </c>
      <c r="Q1108" s="3" t="s">
        <v>27</v>
      </c>
      <c r="R1108" s="3" t="s">
        <v>28</v>
      </c>
      <c r="S1108" s="3" t="s">
        <v>29</v>
      </c>
      <c r="T1108" s="5">
        <v>58383.43</v>
      </c>
      <c r="U1108" s="5">
        <v>25174.94</v>
      </c>
      <c r="V1108" s="5">
        <v>23248.28</v>
      </c>
      <c r="W1108" s="5">
        <v>9960.2099999999991</v>
      </c>
    </row>
    <row r="1109" spans="1:23" ht="60.75">
      <c r="A1109" s="3" t="s">
        <v>23</v>
      </c>
      <c r="B1109" s="3" t="s">
        <v>24</v>
      </c>
      <c r="C1109" s="3" t="s">
        <v>35</v>
      </c>
      <c r="D1109" s="3" t="s">
        <v>39</v>
      </c>
      <c r="E1109" s="3" t="s">
        <v>30</v>
      </c>
      <c r="F1109" s="3" t="s">
        <v>72</v>
      </c>
      <c r="G1109" s="3">
        <v>2016</v>
      </c>
      <c r="H1109" s="3" t="str">
        <f>CONCATENATE("64240368569")</f>
        <v>64240368569</v>
      </c>
      <c r="I1109" s="3" t="s">
        <v>25</v>
      </c>
      <c r="J1109" s="3" t="s">
        <v>26</v>
      </c>
      <c r="K1109" s="3" t="str">
        <f t="shared" si="37"/>
        <v/>
      </c>
      <c r="L1109" s="3" t="str">
        <f>CONCATENATE("11 11.2 4b")</f>
        <v>11 11.2 4b</v>
      </c>
      <c r="M1109" s="3" t="str">
        <f>CONCATENATE("CSRDNL47E54A271M")</f>
        <v>CSRDNL47E54A271M</v>
      </c>
      <c r="N1109" s="3" t="s">
        <v>1198</v>
      </c>
      <c r="O1109" s="3"/>
      <c r="P1109" s="4">
        <v>42783</v>
      </c>
      <c r="Q1109" s="3" t="s">
        <v>27</v>
      </c>
      <c r="R1109" s="3" t="s">
        <v>28</v>
      </c>
      <c r="S1109" s="3" t="s">
        <v>29</v>
      </c>
      <c r="T1109" s="3">
        <v>758.14</v>
      </c>
      <c r="U1109" s="3">
        <v>326.91000000000003</v>
      </c>
      <c r="V1109" s="3">
        <v>301.89</v>
      </c>
      <c r="W1109" s="3">
        <v>129.34</v>
      </c>
    </row>
    <row r="1110" spans="1:23" ht="60.75">
      <c r="A1110" s="3" t="s">
        <v>23</v>
      </c>
      <c r="B1110" s="3" t="s">
        <v>24</v>
      </c>
      <c r="C1110" s="3" t="s">
        <v>35</v>
      </c>
      <c r="D1110" s="3" t="s">
        <v>36</v>
      </c>
      <c r="E1110" s="3" t="s">
        <v>33</v>
      </c>
      <c r="F1110" s="3" t="s">
        <v>89</v>
      </c>
      <c r="G1110" s="3">
        <v>2016</v>
      </c>
      <c r="H1110" s="3" t="str">
        <f>CONCATENATE("64240457545")</f>
        <v>64240457545</v>
      </c>
      <c r="I1110" s="3" t="s">
        <v>25</v>
      </c>
      <c r="J1110" s="3" t="s">
        <v>26</v>
      </c>
      <c r="K1110" s="3" t="str">
        <f t="shared" si="37"/>
        <v/>
      </c>
      <c r="L1110" s="3" t="str">
        <f>CONCATENATE("11 11.2 4b")</f>
        <v>11 11.2 4b</v>
      </c>
      <c r="M1110" s="3" t="str">
        <f>CONCATENATE("MRZSLV83R02A462A")</f>
        <v>MRZSLV83R02A462A</v>
      </c>
      <c r="N1110" s="3" t="s">
        <v>1199</v>
      </c>
      <c r="O1110" s="3"/>
      <c r="P1110" s="4">
        <v>42783</v>
      </c>
      <c r="Q1110" s="3" t="s">
        <v>27</v>
      </c>
      <c r="R1110" s="3" t="s">
        <v>28</v>
      </c>
      <c r="S1110" s="3" t="s">
        <v>29</v>
      </c>
      <c r="T1110" s="3">
        <v>918.05</v>
      </c>
      <c r="U1110" s="3">
        <v>395.86</v>
      </c>
      <c r="V1110" s="3">
        <v>365.57</v>
      </c>
      <c r="W1110" s="3">
        <v>156.62</v>
      </c>
    </row>
    <row r="1111" spans="1:23" ht="60.75">
      <c r="A1111" s="3" t="s">
        <v>23</v>
      </c>
      <c r="B1111" s="3" t="s">
        <v>24</v>
      </c>
      <c r="C1111" s="3" t="s">
        <v>35</v>
      </c>
      <c r="D1111" s="3" t="s">
        <v>48</v>
      </c>
      <c r="E1111" s="3" t="s">
        <v>30</v>
      </c>
      <c r="F1111" s="3" t="s">
        <v>91</v>
      </c>
      <c r="G1111" s="3">
        <v>2016</v>
      </c>
      <c r="H1111" s="3" t="str">
        <f>CONCATENATE("64210588113")</f>
        <v>64210588113</v>
      </c>
      <c r="I1111" s="3" t="s">
        <v>25</v>
      </c>
      <c r="J1111" s="3" t="s">
        <v>26</v>
      </c>
      <c r="K1111" s="3" t="str">
        <f t="shared" si="37"/>
        <v/>
      </c>
      <c r="L1111" s="3" t="str">
        <f>CONCATENATE("13 13.1 4a")</f>
        <v>13 13.1 4a</v>
      </c>
      <c r="M1111" s="3" t="str">
        <f>CONCATENATE("PGNNTN41H27B474L")</f>
        <v>PGNNTN41H27B474L</v>
      </c>
      <c r="N1111" s="3" t="s">
        <v>1200</v>
      </c>
      <c r="O1111" s="3"/>
      <c r="P1111" s="4">
        <v>42783</v>
      </c>
      <c r="Q1111" s="3" t="s">
        <v>27</v>
      </c>
      <c r="R1111" s="3" t="s">
        <v>28</v>
      </c>
      <c r="S1111" s="3" t="s">
        <v>29</v>
      </c>
      <c r="T1111" s="3">
        <v>743.99</v>
      </c>
      <c r="U1111" s="3">
        <v>320.81</v>
      </c>
      <c r="V1111" s="3">
        <v>296.26</v>
      </c>
      <c r="W1111" s="3">
        <v>126.92</v>
      </c>
    </row>
    <row r="1112" spans="1:23" ht="60.75">
      <c r="A1112" s="3" t="s">
        <v>23</v>
      </c>
      <c r="B1112" s="3" t="s">
        <v>24</v>
      </c>
      <c r="C1112" s="3" t="s">
        <v>35</v>
      </c>
      <c r="D1112" s="3" t="s">
        <v>48</v>
      </c>
      <c r="E1112" s="3" t="s">
        <v>30</v>
      </c>
      <c r="F1112" s="3" t="s">
        <v>111</v>
      </c>
      <c r="G1112" s="3">
        <v>2016</v>
      </c>
      <c r="H1112" s="3" t="str">
        <f>CONCATENATE("64240821153")</f>
        <v>64240821153</v>
      </c>
      <c r="I1112" s="3" t="s">
        <v>25</v>
      </c>
      <c r="J1112" s="3" t="s">
        <v>26</v>
      </c>
      <c r="K1112" s="3" t="str">
        <f t="shared" si="37"/>
        <v/>
      </c>
      <c r="L1112" s="3" t="str">
        <f>CONCATENATE("11 11.2 4b")</f>
        <v>11 11.2 4b</v>
      </c>
      <c r="M1112" s="3" t="str">
        <f>CONCATENATE("VSSMRK77B15L191Y")</f>
        <v>VSSMRK77B15L191Y</v>
      </c>
      <c r="N1112" s="3" t="s">
        <v>1201</v>
      </c>
      <c r="O1112" s="3"/>
      <c r="P1112" s="4">
        <v>42783</v>
      </c>
      <c r="Q1112" s="3" t="s">
        <v>27</v>
      </c>
      <c r="R1112" s="3" t="s">
        <v>28</v>
      </c>
      <c r="S1112" s="3" t="s">
        <v>29</v>
      </c>
      <c r="T1112" s="3">
        <v>611.01</v>
      </c>
      <c r="U1112" s="3">
        <v>263.47000000000003</v>
      </c>
      <c r="V1112" s="3">
        <v>243.3</v>
      </c>
      <c r="W1112" s="3">
        <v>104.24</v>
      </c>
    </row>
    <row r="1113" spans="1:23" ht="60.75">
      <c r="A1113" s="3" t="s">
        <v>23</v>
      </c>
      <c r="B1113" s="3" t="s">
        <v>24</v>
      </c>
      <c r="C1113" s="3" t="s">
        <v>35</v>
      </c>
      <c r="D1113" s="3" t="s">
        <v>43</v>
      </c>
      <c r="E1113" s="3" t="s">
        <v>30</v>
      </c>
      <c r="F1113" s="3" t="s">
        <v>109</v>
      </c>
      <c r="G1113" s="3">
        <v>2016</v>
      </c>
      <c r="H1113" s="3" t="str">
        <f>CONCATENATE("64240762472")</f>
        <v>64240762472</v>
      </c>
      <c r="I1113" s="3" t="s">
        <v>25</v>
      </c>
      <c r="J1113" s="3" t="s">
        <v>26</v>
      </c>
      <c r="K1113" s="3" t="str">
        <f t="shared" si="37"/>
        <v/>
      </c>
      <c r="L1113" s="3" t="str">
        <f>CONCATENATE("11 11.2 4b")</f>
        <v>11 11.2 4b</v>
      </c>
      <c r="M1113" s="3" t="str">
        <f>CONCATENATE("CTNDNC59A16I654P")</f>
        <v>CTNDNC59A16I654P</v>
      </c>
      <c r="N1113" s="3" t="s">
        <v>1049</v>
      </c>
      <c r="O1113" s="3"/>
      <c r="P1113" s="4">
        <v>42783</v>
      </c>
      <c r="Q1113" s="3" t="s">
        <v>27</v>
      </c>
      <c r="R1113" s="3" t="s">
        <v>28</v>
      </c>
      <c r="S1113" s="3" t="s">
        <v>29</v>
      </c>
      <c r="T1113" s="5">
        <v>1672.96</v>
      </c>
      <c r="U1113" s="3">
        <v>721.38</v>
      </c>
      <c r="V1113" s="3">
        <v>666.17</v>
      </c>
      <c r="W1113" s="3">
        <v>285.41000000000003</v>
      </c>
    </row>
    <row r="1114" spans="1:23" ht="72.75">
      <c r="A1114" s="3" t="s">
        <v>23</v>
      </c>
      <c r="B1114" s="3" t="s">
        <v>24</v>
      </c>
      <c r="C1114" s="3" t="s">
        <v>35</v>
      </c>
      <c r="D1114" s="3" t="s">
        <v>36</v>
      </c>
      <c r="E1114" s="3" t="s">
        <v>30</v>
      </c>
      <c r="F1114" s="3" t="s">
        <v>257</v>
      </c>
      <c r="G1114" s="3">
        <v>2016</v>
      </c>
      <c r="H1114" s="3" t="str">
        <f>CONCATENATE("64240647558")</f>
        <v>64240647558</v>
      </c>
      <c r="I1114" s="3" t="s">
        <v>25</v>
      </c>
      <c r="J1114" s="3" t="s">
        <v>26</v>
      </c>
      <c r="K1114" s="3" t="str">
        <f t="shared" si="37"/>
        <v/>
      </c>
      <c r="L1114" s="3" t="str">
        <f>CONCATENATE("11 11.2 4b")</f>
        <v>11 11.2 4b</v>
      </c>
      <c r="M1114" s="3" t="str">
        <f>CONCATENATE("REXGPP34M56H501A")</f>
        <v>REXGPP34M56H501A</v>
      </c>
      <c r="N1114" s="3" t="s">
        <v>265</v>
      </c>
      <c r="O1114" s="3"/>
      <c r="P1114" s="4">
        <v>42783</v>
      </c>
      <c r="Q1114" s="3" t="s">
        <v>27</v>
      </c>
      <c r="R1114" s="3" t="s">
        <v>28</v>
      </c>
      <c r="S1114" s="3" t="s">
        <v>29</v>
      </c>
      <c r="T1114" s="5">
        <v>2138.54</v>
      </c>
      <c r="U1114" s="3">
        <v>922.14</v>
      </c>
      <c r="V1114" s="3">
        <v>851.57</v>
      </c>
      <c r="W1114" s="3">
        <v>364.83</v>
      </c>
    </row>
    <row r="1115" spans="1:23" ht="60.75">
      <c r="A1115" s="3" t="s">
        <v>23</v>
      </c>
      <c r="B1115" s="3" t="s">
        <v>24</v>
      </c>
      <c r="C1115" s="3" t="s">
        <v>35</v>
      </c>
      <c r="D1115" s="3" t="s">
        <v>36</v>
      </c>
      <c r="E1115" s="3" t="s">
        <v>30</v>
      </c>
      <c r="F1115" s="3" t="s">
        <v>37</v>
      </c>
      <c r="G1115" s="3">
        <v>2016</v>
      </c>
      <c r="H1115" s="3" t="str">
        <f>CONCATENATE("64210257321")</f>
        <v>64210257321</v>
      </c>
      <c r="I1115" s="3" t="s">
        <v>25</v>
      </c>
      <c r="J1115" s="3" t="s">
        <v>26</v>
      </c>
      <c r="K1115" s="3" t="str">
        <f t="shared" si="37"/>
        <v/>
      </c>
      <c r="L1115" s="3" t="str">
        <f>CONCATENATE("13 13.1 4a")</f>
        <v>13 13.1 4a</v>
      </c>
      <c r="M1115" s="3" t="str">
        <f>CONCATENATE("TTVLFR50D05F570N")</f>
        <v>TTVLFR50D05F570N</v>
      </c>
      <c r="N1115" s="3" t="s">
        <v>1202</v>
      </c>
      <c r="O1115" s="3"/>
      <c r="P1115" s="4">
        <v>42783</v>
      </c>
      <c r="Q1115" s="3" t="s">
        <v>27</v>
      </c>
      <c r="R1115" s="3" t="s">
        <v>28</v>
      </c>
      <c r="S1115" s="3" t="s">
        <v>29</v>
      </c>
      <c r="T1115" s="5">
        <v>1603.19</v>
      </c>
      <c r="U1115" s="3">
        <v>691.3</v>
      </c>
      <c r="V1115" s="3">
        <v>638.39</v>
      </c>
      <c r="W1115" s="3">
        <v>273.5</v>
      </c>
    </row>
    <row r="1116" spans="1:23" ht="60.75">
      <c r="A1116" s="3" t="s">
        <v>23</v>
      </c>
      <c r="B1116" s="3" t="s">
        <v>24</v>
      </c>
      <c r="C1116" s="3" t="s">
        <v>35</v>
      </c>
      <c r="D1116" s="3" t="s">
        <v>39</v>
      </c>
      <c r="E1116" s="3" t="s">
        <v>30</v>
      </c>
      <c r="F1116" s="3" t="s">
        <v>196</v>
      </c>
      <c r="G1116" s="3">
        <v>2016</v>
      </c>
      <c r="H1116" s="3" t="str">
        <f>CONCATENATE("64240693719")</f>
        <v>64240693719</v>
      </c>
      <c r="I1116" s="3" t="s">
        <v>25</v>
      </c>
      <c r="J1116" s="3" t="s">
        <v>26</v>
      </c>
      <c r="K1116" s="3" t="str">
        <f t="shared" si="37"/>
        <v/>
      </c>
      <c r="L1116" s="3" t="str">
        <f>CONCATENATE("11 11.2 4b")</f>
        <v>11 11.2 4b</v>
      </c>
      <c r="M1116" s="3" t="str">
        <f>CONCATENATE("MNCNDA47L53C850L")</f>
        <v>MNCNDA47L53C850L</v>
      </c>
      <c r="N1116" s="3" t="s">
        <v>1203</v>
      </c>
      <c r="O1116" s="3"/>
      <c r="P1116" s="4">
        <v>42783</v>
      </c>
      <c r="Q1116" s="3" t="s">
        <v>27</v>
      </c>
      <c r="R1116" s="3" t="s">
        <v>28</v>
      </c>
      <c r="S1116" s="3" t="s">
        <v>29</v>
      </c>
      <c r="T1116" s="3">
        <v>930.46</v>
      </c>
      <c r="U1116" s="3">
        <v>401.21</v>
      </c>
      <c r="V1116" s="3">
        <v>370.51</v>
      </c>
      <c r="W1116" s="3">
        <v>158.74</v>
      </c>
    </row>
    <row r="1117" spans="1:23" ht="60.75">
      <c r="A1117" s="3" t="s">
        <v>23</v>
      </c>
      <c r="B1117" s="3" t="s">
        <v>24</v>
      </c>
      <c r="C1117" s="3" t="s">
        <v>35</v>
      </c>
      <c r="D1117" s="3" t="s">
        <v>43</v>
      </c>
      <c r="E1117" s="3" t="s">
        <v>30</v>
      </c>
      <c r="F1117" s="3" t="s">
        <v>113</v>
      </c>
      <c r="G1117" s="3">
        <v>2016</v>
      </c>
      <c r="H1117" s="3" t="str">
        <f>CONCATENATE("64210995524")</f>
        <v>64210995524</v>
      </c>
      <c r="I1117" s="3" t="s">
        <v>25</v>
      </c>
      <c r="J1117" s="3" t="s">
        <v>26</v>
      </c>
      <c r="K1117" s="3" t="str">
        <f t="shared" si="37"/>
        <v/>
      </c>
      <c r="L1117" s="3" t="str">
        <f>CONCATENATE("13 13.1 4a")</f>
        <v>13 13.1 4a</v>
      </c>
      <c r="M1117" s="3" t="str">
        <f>CONCATENATE("BCCFRZ62A30A327P")</f>
        <v>BCCFRZ62A30A327P</v>
      </c>
      <c r="N1117" s="3" t="s">
        <v>1204</v>
      </c>
      <c r="O1117" s="3"/>
      <c r="P1117" s="4">
        <v>42783</v>
      </c>
      <c r="Q1117" s="3" t="s">
        <v>27</v>
      </c>
      <c r="R1117" s="3" t="s">
        <v>28</v>
      </c>
      <c r="S1117" s="3" t="s">
        <v>29</v>
      </c>
      <c r="T1117" s="5">
        <v>2026.72</v>
      </c>
      <c r="U1117" s="3">
        <v>873.92</v>
      </c>
      <c r="V1117" s="3">
        <v>807.04</v>
      </c>
      <c r="W1117" s="3">
        <v>345.76</v>
      </c>
    </row>
    <row r="1118" spans="1:23" ht="60.75">
      <c r="A1118" s="3" t="s">
        <v>23</v>
      </c>
      <c r="B1118" s="3" t="s">
        <v>24</v>
      </c>
      <c r="C1118" s="3" t="s">
        <v>35</v>
      </c>
      <c r="D1118" s="3" t="s">
        <v>39</v>
      </c>
      <c r="E1118" s="3" t="s">
        <v>32</v>
      </c>
      <c r="F1118" s="3" t="s">
        <v>215</v>
      </c>
      <c r="G1118" s="3">
        <v>2016</v>
      </c>
      <c r="H1118" s="3" t="str">
        <f>CONCATENATE("64240871984")</f>
        <v>64240871984</v>
      </c>
      <c r="I1118" s="3" t="s">
        <v>25</v>
      </c>
      <c r="J1118" s="3" t="s">
        <v>26</v>
      </c>
      <c r="K1118" s="3" t="str">
        <f t="shared" si="37"/>
        <v/>
      </c>
      <c r="L1118" s="3" t="str">
        <f>CONCATENATE("10 10.1 4a")</f>
        <v>10 10.1 4a</v>
      </c>
      <c r="M1118" s="3" t="str">
        <f>CONCATENATE("FCNDNI36S15F560A")</f>
        <v>FCNDNI36S15F560A</v>
      </c>
      <c r="N1118" s="3" t="s">
        <v>1205</v>
      </c>
      <c r="O1118" s="3"/>
      <c r="P1118" s="4">
        <v>42783</v>
      </c>
      <c r="Q1118" s="3" t="s">
        <v>27</v>
      </c>
      <c r="R1118" s="3" t="s">
        <v>28</v>
      </c>
      <c r="S1118" s="3" t="s">
        <v>29</v>
      </c>
      <c r="T1118" s="3">
        <v>174.96</v>
      </c>
      <c r="U1118" s="3">
        <v>75.44</v>
      </c>
      <c r="V1118" s="3">
        <v>69.67</v>
      </c>
      <c r="W1118" s="3">
        <v>29.85</v>
      </c>
    </row>
    <row r="1119" spans="1:23" ht="36.75">
      <c r="A1119" s="3" t="s">
        <v>23</v>
      </c>
      <c r="B1119" s="3" t="s">
        <v>24</v>
      </c>
      <c r="C1119" s="3" t="s">
        <v>35</v>
      </c>
      <c r="D1119" s="3" t="s">
        <v>48</v>
      </c>
      <c r="E1119" s="3" t="s">
        <v>30</v>
      </c>
      <c r="F1119" s="3" t="s">
        <v>157</v>
      </c>
      <c r="G1119" s="3">
        <v>2016</v>
      </c>
      <c r="H1119" s="3" t="str">
        <f>CONCATENATE("64240759460")</f>
        <v>64240759460</v>
      </c>
      <c r="I1119" s="3" t="s">
        <v>25</v>
      </c>
      <c r="J1119" s="3" t="s">
        <v>26</v>
      </c>
      <c r="K1119" s="3" t="str">
        <f t="shared" si="37"/>
        <v/>
      </c>
      <c r="L1119" s="3" t="str">
        <f>CONCATENATE("11 11.1 4b")</f>
        <v>11 11.1 4b</v>
      </c>
      <c r="M1119" s="3" t="str">
        <f>CONCATENATE("01814150437")</f>
        <v>01814150437</v>
      </c>
      <c r="N1119" s="3" t="s">
        <v>1206</v>
      </c>
      <c r="O1119" s="3"/>
      <c r="P1119" s="4">
        <v>42783</v>
      </c>
      <c r="Q1119" s="3" t="s">
        <v>27</v>
      </c>
      <c r="R1119" s="3" t="s">
        <v>28</v>
      </c>
      <c r="S1119" s="3" t="s">
        <v>29</v>
      </c>
      <c r="T1119" s="5">
        <v>1351.72</v>
      </c>
      <c r="U1119" s="3">
        <v>582.86</v>
      </c>
      <c r="V1119" s="3">
        <v>538.25</v>
      </c>
      <c r="W1119" s="3">
        <v>230.61</v>
      </c>
    </row>
    <row r="1120" spans="1:23" ht="36.75">
      <c r="A1120" s="3" t="s">
        <v>23</v>
      </c>
      <c r="B1120" s="3" t="s">
        <v>24</v>
      </c>
      <c r="C1120" s="3" t="s">
        <v>35</v>
      </c>
      <c r="D1120" s="3" t="s">
        <v>43</v>
      </c>
      <c r="E1120" s="3" t="s">
        <v>30</v>
      </c>
      <c r="F1120" s="3" t="s">
        <v>113</v>
      </c>
      <c r="G1120" s="3">
        <v>2016</v>
      </c>
      <c r="H1120" s="3" t="str">
        <f>CONCATENATE("64210994311")</f>
        <v>64210994311</v>
      </c>
      <c r="I1120" s="3" t="s">
        <v>25</v>
      </c>
      <c r="J1120" s="3" t="s">
        <v>26</v>
      </c>
      <c r="K1120" s="3" t="str">
        <f t="shared" si="37"/>
        <v/>
      </c>
      <c r="L1120" s="3" t="str">
        <f>CONCATENATE("13 13.1 4a")</f>
        <v>13 13.1 4a</v>
      </c>
      <c r="M1120" s="3" t="str">
        <f>CONCATENATE("02012480410")</f>
        <v>02012480410</v>
      </c>
      <c r="N1120" s="3" t="s">
        <v>549</v>
      </c>
      <c r="O1120" s="3"/>
      <c r="P1120" s="4">
        <v>42783</v>
      </c>
      <c r="Q1120" s="3" t="s">
        <v>27</v>
      </c>
      <c r="R1120" s="3" t="s">
        <v>28</v>
      </c>
      <c r="S1120" s="3" t="s">
        <v>29</v>
      </c>
      <c r="T1120" s="5">
        <v>4225.0200000000004</v>
      </c>
      <c r="U1120" s="5">
        <v>1821.83</v>
      </c>
      <c r="V1120" s="5">
        <v>1682.4</v>
      </c>
      <c r="W1120" s="3">
        <v>720.79</v>
      </c>
    </row>
    <row r="1121" spans="1:23" ht="60.75">
      <c r="A1121" s="3" t="s">
        <v>23</v>
      </c>
      <c r="B1121" s="3" t="s">
        <v>24</v>
      </c>
      <c r="C1121" s="3" t="s">
        <v>35</v>
      </c>
      <c r="D1121" s="3" t="s">
        <v>39</v>
      </c>
      <c r="E1121" s="3" t="s">
        <v>59</v>
      </c>
      <c r="F1121" s="3" t="s">
        <v>457</v>
      </c>
      <c r="G1121" s="3">
        <v>2016</v>
      </c>
      <c r="H1121" s="3" t="str">
        <f>CONCATENATE("64240527412")</f>
        <v>64240527412</v>
      </c>
      <c r="I1121" s="3" t="s">
        <v>31</v>
      </c>
      <c r="J1121" s="3" t="s">
        <v>26</v>
      </c>
      <c r="K1121" s="3" t="str">
        <f t="shared" si="37"/>
        <v/>
      </c>
      <c r="L1121" s="3" t="str">
        <f>CONCATENATE("11 11.1 4b")</f>
        <v>11 11.1 4b</v>
      </c>
      <c r="M1121" s="3" t="str">
        <f>CONCATENATE("JNNTTR80B22F205X")</f>
        <v>JNNTTR80B22F205X</v>
      </c>
      <c r="N1121" s="3" t="s">
        <v>1207</v>
      </c>
      <c r="O1121" s="3"/>
      <c r="P1121" s="4">
        <v>42783</v>
      </c>
      <c r="Q1121" s="3" t="s">
        <v>27</v>
      </c>
      <c r="R1121" s="3" t="s">
        <v>28</v>
      </c>
      <c r="S1121" s="3" t="s">
        <v>29</v>
      </c>
      <c r="T1121" s="5">
        <v>2172.6</v>
      </c>
      <c r="U1121" s="3">
        <v>936.83</v>
      </c>
      <c r="V1121" s="3">
        <v>865.13</v>
      </c>
      <c r="W1121" s="3">
        <v>370.64</v>
      </c>
    </row>
    <row r="1122" spans="1:23" ht="72.75">
      <c r="A1122" s="3" t="s">
        <v>23</v>
      </c>
      <c r="B1122" s="3" t="s">
        <v>24</v>
      </c>
      <c r="C1122" s="3" t="s">
        <v>35</v>
      </c>
      <c r="D1122" s="3" t="s">
        <v>48</v>
      </c>
      <c r="E1122" s="3" t="s">
        <v>30</v>
      </c>
      <c r="F1122" s="3" t="s">
        <v>111</v>
      </c>
      <c r="G1122" s="3">
        <v>2016</v>
      </c>
      <c r="H1122" s="3" t="str">
        <f>CONCATENATE("64240739660")</f>
        <v>64240739660</v>
      </c>
      <c r="I1122" s="3" t="s">
        <v>25</v>
      </c>
      <c r="J1122" s="3" t="s">
        <v>26</v>
      </c>
      <c r="K1122" s="3" t="str">
        <f t="shared" si="37"/>
        <v/>
      </c>
      <c r="L1122" s="3" t="str">
        <f>CONCATENATE("11 11.2 4b")</f>
        <v>11 11.2 4b</v>
      </c>
      <c r="M1122" s="3" t="str">
        <f>CONCATENATE("CNGNDR65A26H211R")</f>
        <v>CNGNDR65A26H211R</v>
      </c>
      <c r="N1122" s="3" t="s">
        <v>1208</v>
      </c>
      <c r="O1122" s="3"/>
      <c r="P1122" s="4">
        <v>42783</v>
      </c>
      <c r="Q1122" s="3" t="s">
        <v>27</v>
      </c>
      <c r="R1122" s="3" t="s">
        <v>28</v>
      </c>
      <c r="S1122" s="3" t="s">
        <v>29</v>
      </c>
      <c r="T1122" s="5">
        <v>2451.17</v>
      </c>
      <c r="U1122" s="5">
        <v>1056.94</v>
      </c>
      <c r="V1122" s="3">
        <v>976.06</v>
      </c>
      <c r="W1122" s="3">
        <v>418.17</v>
      </c>
    </row>
    <row r="1123" spans="1:23" ht="72.75">
      <c r="A1123" s="3" t="s">
        <v>23</v>
      </c>
      <c r="B1123" s="3" t="s">
        <v>24</v>
      </c>
      <c r="C1123" s="3" t="s">
        <v>35</v>
      </c>
      <c r="D1123" s="3" t="s">
        <v>36</v>
      </c>
      <c r="E1123" s="3" t="s">
        <v>30</v>
      </c>
      <c r="F1123" s="3" t="s">
        <v>53</v>
      </c>
      <c r="G1123" s="3">
        <v>2016</v>
      </c>
      <c r="H1123" s="3" t="str">
        <f>CONCATENATE("64240681581")</f>
        <v>64240681581</v>
      </c>
      <c r="I1123" s="3" t="s">
        <v>25</v>
      </c>
      <c r="J1123" s="3" t="s">
        <v>26</v>
      </c>
      <c r="K1123" s="3" t="str">
        <f t="shared" si="37"/>
        <v/>
      </c>
      <c r="L1123" s="3" t="str">
        <f>CONCATENATE("11 11.1 4b")</f>
        <v>11 11.1 4b</v>
      </c>
      <c r="M1123" s="3" t="str">
        <f>CONCATENATE("CRSGRL43M21H321D")</f>
        <v>CRSGRL43M21H321D</v>
      </c>
      <c r="N1123" s="3" t="s">
        <v>1209</v>
      </c>
      <c r="O1123" s="3"/>
      <c r="P1123" s="4">
        <v>42783</v>
      </c>
      <c r="Q1123" s="3" t="s">
        <v>27</v>
      </c>
      <c r="R1123" s="3" t="s">
        <v>28</v>
      </c>
      <c r="S1123" s="3" t="s">
        <v>29</v>
      </c>
      <c r="T1123" s="5">
        <v>1557.31</v>
      </c>
      <c r="U1123" s="3">
        <v>671.51</v>
      </c>
      <c r="V1123" s="3">
        <v>620.12</v>
      </c>
      <c r="W1123" s="3">
        <v>265.68</v>
      </c>
    </row>
    <row r="1124" spans="1:23" ht="60.75">
      <c r="A1124" s="3" t="s">
        <v>23</v>
      </c>
      <c r="B1124" s="3" t="s">
        <v>24</v>
      </c>
      <c r="C1124" s="3" t="s">
        <v>35</v>
      </c>
      <c r="D1124" s="3" t="s">
        <v>39</v>
      </c>
      <c r="E1124" s="3" t="s">
        <v>30</v>
      </c>
      <c r="F1124" s="3" t="s">
        <v>533</v>
      </c>
      <c r="G1124" s="3">
        <v>2016</v>
      </c>
      <c r="H1124" s="3" t="str">
        <f>CONCATENATE("64240415519")</f>
        <v>64240415519</v>
      </c>
      <c r="I1124" s="3" t="s">
        <v>25</v>
      </c>
      <c r="J1124" s="3" t="s">
        <v>26</v>
      </c>
      <c r="K1124" s="3" t="str">
        <f t="shared" si="37"/>
        <v/>
      </c>
      <c r="L1124" s="3" t="str">
        <f t="shared" ref="L1124:L1129" si="39">CONCATENATE("11 11.2 4b")</f>
        <v>11 11.2 4b</v>
      </c>
      <c r="M1124" s="3" t="str">
        <f>CONCATENATE("LZZLEI59L44A366R")</f>
        <v>LZZLEI59L44A366R</v>
      </c>
      <c r="N1124" s="3" t="s">
        <v>1210</v>
      </c>
      <c r="O1124" s="3"/>
      <c r="P1124" s="4">
        <v>42783</v>
      </c>
      <c r="Q1124" s="3" t="s">
        <v>27</v>
      </c>
      <c r="R1124" s="3" t="s">
        <v>28</v>
      </c>
      <c r="S1124" s="3" t="s">
        <v>29</v>
      </c>
      <c r="T1124" s="5">
        <v>1756.13</v>
      </c>
      <c r="U1124" s="3">
        <v>757.24</v>
      </c>
      <c r="V1124" s="3">
        <v>699.29</v>
      </c>
      <c r="W1124" s="3">
        <v>299.60000000000002</v>
      </c>
    </row>
    <row r="1125" spans="1:23" ht="60.75">
      <c r="A1125" s="3" t="s">
        <v>23</v>
      </c>
      <c r="B1125" s="3" t="s">
        <v>24</v>
      </c>
      <c r="C1125" s="3" t="s">
        <v>35</v>
      </c>
      <c r="D1125" s="3" t="s">
        <v>39</v>
      </c>
      <c r="E1125" s="3" t="s">
        <v>32</v>
      </c>
      <c r="F1125" s="3" t="s">
        <v>117</v>
      </c>
      <c r="G1125" s="3">
        <v>2016</v>
      </c>
      <c r="H1125" s="3" t="str">
        <f>CONCATENATE("64240484911")</f>
        <v>64240484911</v>
      </c>
      <c r="I1125" s="3" t="s">
        <v>25</v>
      </c>
      <c r="J1125" s="3" t="s">
        <v>26</v>
      </c>
      <c r="K1125" s="3" t="str">
        <f t="shared" si="37"/>
        <v/>
      </c>
      <c r="L1125" s="3" t="str">
        <f t="shared" si="39"/>
        <v>11 11.2 4b</v>
      </c>
      <c r="M1125" s="3" t="str">
        <f>CONCATENATE("SBRLGB65A43Z600R")</f>
        <v>SBRLGB65A43Z600R</v>
      </c>
      <c r="N1125" s="3" t="s">
        <v>1211</v>
      </c>
      <c r="O1125" s="3"/>
      <c r="P1125" s="4">
        <v>42783</v>
      </c>
      <c r="Q1125" s="3" t="s">
        <v>27</v>
      </c>
      <c r="R1125" s="3" t="s">
        <v>28</v>
      </c>
      <c r="S1125" s="3" t="s">
        <v>29</v>
      </c>
      <c r="T1125" s="5">
        <v>2393.09</v>
      </c>
      <c r="U1125" s="5">
        <v>1031.9000000000001</v>
      </c>
      <c r="V1125" s="3">
        <v>952.93</v>
      </c>
      <c r="W1125" s="3">
        <v>408.26</v>
      </c>
    </row>
    <row r="1126" spans="1:23" ht="60.75">
      <c r="A1126" s="3" t="s">
        <v>23</v>
      </c>
      <c r="B1126" s="3" t="s">
        <v>24</v>
      </c>
      <c r="C1126" s="3" t="s">
        <v>35</v>
      </c>
      <c r="D1126" s="3" t="s">
        <v>48</v>
      </c>
      <c r="E1126" s="3" t="s">
        <v>32</v>
      </c>
      <c r="F1126" s="3" t="s">
        <v>129</v>
      </c>
      <c r="G1126" s="3">
        <v>2016</v>
      </c>
      <c r="H1126" s="3" t="str">
        <f>CONCATENATE("64240672077")</f>
        <v>64240672077</v>
      </c>
      <c r="I1126" s="3" t="s">
        <v>25</v>
      </c>
      <c r="J1126" s="3" t="s">
        <v>26</v>
      </c>
      <c r="K1126" s="3" t="str">
        <f t="shared" si="37"/>
        <v/>
      </c>
      <c r="L1126" s="3" t="str">
        <f t="shared" si="39"/>
        <v>11 11.2 4b</v>
      </c>
      <c r="M1126" s="3" t="str">
        <f>CONCATENATE("FRTSMN77S18E783D")</f>
        <v>FRTSMN77S18E783D</v>
      </c>
      <c r="N1126" s="3" t="s">
        <v>1212</v>
      </c>
      <c r="O1126" s="3"/>
      <c r="P1126" s="4">
        <v>42783</v>
      </c>
      <c r="Q1126" s="3" t="s">
        <v>27</v>
      </c>
      <c r="R1126" s="3" t="s">
        <v>28</v>
      </c>
      <c r="S1126" s="3" t="s">
        <v>29</v>
      </c>
      <c r="T1126" s="5">
        <v>10859.77</v>
      </c>
      <c r="U1126" s="5">
        <v>4682.7299999999996</v>
      </c>
      <c r="V1126" s="5">
        <v>4324.3599999999997</v>
      </c>
      <c r="W1126" s="5">
        <v>1852.68</v>
      </c>
    </row>
    <row r="1127" spans="1:23" ht="60.75">
      <c r="A1127" s="3" t="s">
        <v>23</v>
      </c>
      <c r="B1127" s="3" t="s">
        <v>24</v>
      </c>
      <c r="C1127" s="3" t="s">
        <v>35</v>
      </c>
      <c r="D1127" s="3" t="s">
        <v>43</v>
      </c>
      <c r="E1127" s="3" t="s">
        <v>30</v>
      </c>
      <c r="F1127" s="3" t="s">
        <v>109</v>
      </c>
      <c r="G1127" s="3">
        <v>2016</v>
      </c>
      <c r="H1127" s="3" t="str">
        <f>CONCATENATE("64240734364")</f>
        <v>64240734364</v>
      </c>
      <c r="I1127" s="3" t="s">
        <v>25</v>
      </c>
      <c r="J1127" s="3" t="s">
        <v>26</v>
      </c>
      <c r="K1127" s="3" t="str">
        <f t="shared" si="37"/>
        <v/>
      </c>
      <c r="L1127" s="3" t="str">
        <f t="shared" si="39"/>
        <v>11 11.2 4b</v>
      </c>
      <c r="M1127" s="3" t="str">
        <f>CONCATENATE("MSNPLA75R18G453W")</f>
        <v>MSNPLA75R18G453W</v>
      </c>
      <c r="N1127" s="3" t="s">
        <v>1213</v>
      </c>
      <c r="O1127" s="3"/>
      <c r="P1127" s="4">
        <v>42783</v>
      </c>
      <c r="Q1127" s="3" t="s">
        <v>27</v>
      </c>
      <c r="R1127" s="3" t="s">
        <v>28</v>
      </c>
      <c r="S1127" s="3" t="s">
        <v>29</v>
      </c>
      <c r="T1127" s="5">
        <v>2399.0700000000002</v>
      </c>
      <c r="U1127" s="5">
        <v>1034.48</v>
      </c>
      <c r="V1127" s="3">
        <v>955.31</v>
      </c>
      <c r="W1127" s="3">
        <v>409.28</v>
      </c>
    </row>
    <row r="1128" spans="1:23" ht="72.75">
      <c r="A1128" s="3" t="s">
        <v>23</v>
      </c>
      <c r="B1128" s="3" t="s">
        <v>24</v>
      </c>
      <c r="C1128" s="3" t="s">
        <v>35</v>
      </c>
      <c r="D1128" s="3" t="s">
        <v>36</v>
      </c>
      <c r="E1128" s="3" t="s">
        <v>42</v>
      </c>
      <c r="F1128" s="3" t="s">
        <v>42</v>
      </c>
      <c r="G1128" s="3">
        <v>2016</v>
      </c>
      <c r="H1128" s="3" t="str">
        <f>CONCATENATE("64240872883")</f>
        <v>64240872883</v>
      </c>
      <c r="I1128" s="3" t="s">
        <v>25</v>
      </c>
      <c r="J1128" s="3" t="s">
        <v>26</v>
      </c>
      <c r="K1128" s="3" t="str">
        <f t="shared" si="37"/>
        <v/>
      </c>
      <c r="L1128" s="3" t="str">
        <f t="shared" si="39"/>
        <v>11 11.2 4b</v>
      </c>
      <c r="M1128" s="3" t="str">
        <f>CONCATENATE("SVNGRG68H13G920V")</f>
        <v>SVNGRG68H13G920V</v>
      </c>
      <c r="N1128" s="3" t="s">
        <v>1214</v>
      </c>
      <c r="O1128" s="3"/>
      <c r="P1128" s="4">
        <v>42783</v>
      </c>
      <c r="Q1128" s="3" t="s">
        <v>27</v>
      </c>
      <c r="R1128" s="3" t="s">
        <v>28</v>
      </c>
      <c r="S1128" s="3" t="s">
        <v>29</v>
      </c>
      <c r="T1128" s="5">
        <v>31962.12</v>
      </c>
      <c r="U1128" s="5">
        <v>13782.07</v>
      </c>
      <c r="V1128" s="5">
        <v>12727.32</v>
      </c>
      <c r="W1128" s="5">
        <v>5452.73</v>
      </c>
    </row>
    <row r="1129" spans="1:23" ht="72.75">
      <c r="A1129" s="3" t="s">
        <v>23</v>
      </c>
      <c r="B1129" s="3" t="s">
        <v>24</v>
      </c>
      <c r="C1129" s="3" t="s">
        <v>35</v>
      </c>
      <c r="D1129" s="3" t="s">
        <v>48</v>
      </c>
      <c r="E1129" s="3" t="s">
        <v>49</v>
      </c>
      <c r="F1129" s="3" t="s">
        <v>80</v>
      </c>
      <c r="G1129" s="3">
        <v>2016</v>
      </c>
      <c r="H1129" s="3" t="str">
        <f>CONCATENATE("64240260964")</f>
        <v>64240260964</v>
      </c>
      <c r="I1129" s="3" t="s">
        <v>25</v>
      </c>
      <c r="J1129" s="3" t="s">
        <v>26</v>
      </c>
      <c r="K1129" s="3" t="str">
        <f t="shared" si="37"/>
        <v/>
      </c>
      <c r="L1129" s="3" t="str">
        <f t="shared" si="39"/>
        <v>11 11.2 4b</v>
      </c>
      <c r="M1129" s="3" t="str">
        <f>CONCATENATE("DLLGNN75D20D969O")</f>
        <v>DLLGNN75D20D969O</v>
      </c>
      <c r="N1129" s="3" t="s">
        <v>1215</v>
      </c>
      <c r="O1129" s="3"/>
      <c r="P1129" s="4">
        <v>42783</v>
      </c>
      <c r="Q1129" s="3" t="s">
        <v>27</v>
      </c>
      <c r="R1129" s="3" t="s">
        <v>28</v>
      </c>
      <c r="S1129" s="3" t="s">
        <v>29</v>
      </c>
      <c r="T1129" s="5">
        <v>1366.47</v>
      </c>
      <c r="U1129" s="3">
        <v>589.22</v>
      </c>
      <c r="V1129" s="3">
        <v>544.13</v>
      </c>
      <c r="W1129" s="3">
        <v>233.12</v>
      </c>
    </row>
    <row r="1130" spans="1:23" ht="36.75">
      <c r="A1130" s="3" t="s">
        <v>23</v>
      </c>
      <c r="B1130" s="3" t="s">
        <v>24</v>
      </c>
      <c r="C1130" s="3" t="s">
        <v>35</v>
      </c>
      <c r="D1130" s="3" t="s">
        <v>43</v>
      </c>
      <c r="E1130" s="3" t="s">
        <v>32</v>
      </c>
      <c r="F1130" s="3" t="s">
        <v>575</v>
      </c>
      <c r="G1130" s="3">
        <v>2016</v>
      </c>
      <c r="H1130" s="3" t="str">
        <f>CONCATENATE("64240273454")</f>
        <v>64240273454</v>
      </c>
      <c r="I1130" s="3" t="s">
        <v>25</v>
      </c>
      <c r="J1130" s="3" t="s">
        <v>26</v>
      </c>
      <c r="K1130" s="3" t="str">
        <f t="shared" si="37"/>
        <v/>
      </c>
      <c r="L1130" s="3" t="str">
        <f>CONCATENATE("11 11.1 4b")</f>
        <v>11 11.1 4b</v>
      </c>
      <c r="M1130" s="3" t="str">
        <f>CONCATENATE("00474850419")</f>
        <v>00474850419</v>
      </c>
      <c r="N1130" s="3" t="s">
        <v>1216</v>
      </c>
      <c r="O1130" s="3"/>
      <c r="P1130" s="4">
        <v>42783</v>
      </c>
      <c r="Q1130" s="3" t="s">
        <v>27</v>
      </c>
      <c r="R1130" s="3" t="s">
        <v>28</v>
      </c>
      <c r="S1130" s="3" t="s">
        <v>29</v>
      </c>
      <c r="T1130" s="5">
        <v>1819.13</v>
      </c>
      <c r="U1130" s="3">
        <v>784.41</v>
      </c>
      <c r="V1130" s="3">
        <v>724.38</v>
      </c>
      <c r="W1130" s="3">
        <v>310.33999999999997</v>
      </c>
    </row>
    <row r="1131" spans="1:23" ht="72.75">
      <c r="A1131" s="3" t="s">
        <v>23</v>
      </c>
      <c r="B1131" s="3" t="s">
        <v>24</v>
      </c>
      <c r="C1131" s="3" t="s">
        <v>35</v>
      </c>
      <c r="D1131" s="3" t="s">
        <v>36</v>
      </c>
      <c r="E1131" s="3" t="s">
        <v>30</v>
      </c>
      <c r="F1131" s="3" t="s">
        <v>37</v>
      </c>
      <c r="G1131" s="3">
        <v>2016</v>
      </c>
      <c r="H1131" s="3" t="str">
        <f>CONCATENATE("64210797953")</f>
        <v>64210797953</v>
      </c>
      <c r="I1131" s="3" t="s">
        <v>25</v>
      </c>
      <c r="J1131" s="3" t="s">
        <v>26</v>
      </c>
      <c r="K1131" s="3" t="str">
        <f t="shared" si="37"/>
        <v/>
      </c>
      <c r="L1131" s="3" t="str">
        <f>CONCATENATE("13 13.1 4a")</f>
        <v>13 13.1 4a</v>
      </c>
      <c r="M1131" s="3" t="str">
        <f>CONCATENATE("LAIMSM72B06A252E")</f>
        <v>LAIMSM72B06A252E</v>
      </c>
      <c r="N1131" s="3" t="s">
        <v>1217</v>
      </c>
      <c r="O1131" s="3"/>
      <c r="P1131" s="4">
        <v>42783</v>
      </c>
      <c r="Q1131" s="3" t="s">
        <v>27</v>
      </c>
      <c r="R1131" s="3" t="s">
        <v>28</v>
      </c>
      <c r="S1131" s="3" t="s">
        <v>29</v>
      </c>
      <c r="T1131" s="3">
        <v>880.9</v>
      </c>
      <c r="U1131" s="3">
        <v>379.84</v>
      </c>
      <c r="V1131" s="3">
        <v>350.77</v>
      </c>
      <c r="W1131" s="3">
        <v>150.29</v>
      </c>
    </row>
    <row r="1132" spans="1:23" ht="60.75">
      <c r="A1132" s="3" t="s">
        <v>23</v>
      </c>
      <c r="B1132" s="3" t="s">
        <v>24</v>
      </c>
      <c r="C1132" s="3" t="s">
        <v>35</v>
      </c>
      <c r="D1132" s="3" t="s">
        <v>36</v>
      </c>
      <c r="E1132" s="3" t="s">
        <v>30</v>
      </c>
      <c r="F1132" s="3" t="s">
        <v>37</v>
      </c>
      <c r="G1132" s="3">
        <v>2016</v>
      </c>
      <c r="H1132" s="3" t="str">
        <f>CONCATENATE("64210259947")</f>
        <v>64210259947</v>
      </c>
      <c r="I1132" s="3" t="s">
        <v>25</v>
      </c>
      <c r="J1132" s="3" t="s">
        <v>26</v>
      </c>
      <c r="K1132" s="3" t="str">
        <f t="shared" si="37"/>
        <v/>
      </c>
      <c r="L1132" s="3" t="str">
        <f>CONCATENATE("13 13.1 4a")</f>
        <v>13 13.1 4a</v>
      </c>
      <c r="M1132" s="3" t="str">
        <f>CONCATENATE("SRTZEI52S13F509D")</f>
        <v>SRTZEI52S13F509D</v>
      </c>
      <c r="N1132" s="3" t="s">
        <v>1218</v>
      </c>
      <c r="O1132" s="3"/>
      <c r="P1132" s="4">
        <v>42783</v>
      </c>
      <c r="Q1132" s="3" t="s">
        <v>27</v>
      </c>
      <c r="R1132" s="3" t="s">
        <v>28</v>
      </c>
      <c r="S1132" s="3" t="s">
        <v>29</v>
      </c>
      <c r="T1132" s="5">
        <v>3075.91</v>
      </c>
      <c r="U1132" s="5">
        <v>1326.33</v>
      </c>
      <c r="V1132" s="5">
        <v>1224.83</v>
      </c>
      <c r="W1132" s="3">
        <v>524.75</v>
      </c>
    </row>
    <row r="1133" spans="1:23" ht="72.75">
      <c r="A1133" s="3" t="s">
        <v>23</v>
      </c>
      <c r="B1133" s="3" t="s">
        <v>24</v>
      </c>
      <c r="C1133" s="3" t="s">
        <v>35</v>
      </c>
      <c r="D1133" s="3" t="s">
        <v>36</v>
      </c>
      <c r="E1133" s="3" t="s">
        <v>33</v>
      </c>
      <c r="F1133" s="3" t="s">
        <v>360</v>
      </c>
      <c r="G1133" s="3">
        <v>2016</v>
      </c>
      <c r="H1133" s="3" t="str">
        <f>CONCATENATE("64240431557")</f>
        <v>64240431557</v>
      </c>
      <c r="I1133" s="3" t="s">
        <v>25</v>
      </c>
      <c r="J1133" s="3" t="s">
        <v>26</v>
      </c>
      <c r="K1133" s="3" t="str">
        <f t="shared" si="37"/>
        <v/>
      </c>
      <c r="L1133" s="3" t="str">
        <f>CONCATENATE("10 10.1 4b")</f>
        <v>10 10.1 4b</v>
      </c>
      <c r="M1133" s="3" t="str">
        <f>CONCATENATE("MNNNBL60H09F599U")</f>
        <v>MNNNBL60H09F599U</v>
      </c>
      <c r="N1133" s="3" t="s">
        <v>1219</v>
      </c>
      <c r="O1133" s="3"/>
      <c r="P1133" s="4">
        <v>42783</v>
      </c>
      <c r="Q1133" s="3" t="s">
        <v>27</v>
      </c>
      <c r="R1133" s="3" t="s">
        <v>28</v>
      </c>
      <c r="S1133" s="3" t="s">
        <v>29</v>
      </c>
      <c r="T1133" s="3">
        <v>616.07000000000005</v>
      </c>
      <c r="U1133" s="3">
        <v>265.64999999999998</v>
      </c>
      <c r="V1133" s="3">
        <v>245.32</v>
      </c>
      <c r="W1133" s="3">
        <v>105.1</v>
      </c>
    </row>
    <row r="1134" spans="1:23" ht="60.75">
      <c r="A1134" s="3" t="s">
        <v>23</v>
      </c>
      <c r="B1134" s="3" t="s">
        <v>24</v>
      </c>
      <c r="C1134" s="3" t="s">
        <v>35</v>
      </c>
      <c r="D1134" s="3" t="s">
        <v>36</v>
      </c>
      <c r="E1134" s="3" t="s">
        <v>59</v>
      </c>
      <c r="F1134" s="3" t="s">
        <v>62</v>
      </c>
      <c r="G1134" s="3">
        <v>2016</v>
      </c>
      <c r="H1134" s="3" t="str">
        <f>CONCATENATE("64240312492")</f>
        <v>64240312492</v>
      </c>
      <c r="I1134" s="3" t="s">
        <v>25</v>
      </c>
      <c r="J1134" s="3" t="s">
        <v>26</v>
      </c>
      <c r="K1134" s="3" t="str">
        <f t="shared" ref="K1134:K1197" si="40">CONCATENATE("")</f>
        <v/>
      </c>
      <c r="L1134" s="3" t="str">
        <f>CONCATENATE("11 11.2 4b")</f>
        <v>11 11.2 4b</v>
      </c>
      <c r="M1134" s="3" t="str">
        <f>CONCATENATE("SLDSDN56D06H501Z")</f>
        <v>SLDSDN56D06H501Z</v>
      </c>
      <c r="N1134" s="3" t="s">
        <v>1220</v>
      </c>
      <c r="O1134" s="3"/>
      <c r="P1134" s="4">
        <v>42783</v>
      </c>
      <c r="Q1134" s="3" t="s">
        <v>27</v>
      </c>
      <c r="R1134" s="3" t="s">
        <v>28</v>
      </c>
      <c r="S1134" s="3" t="s">
        <v>29</v>
      </c>
      <c r="T1134" s="5">
        <v>86304.54</v>
      </c>
      <c r="U1134" s="5">
        <v>37214.519999999997</v>
      </c>
      <c r="V1134" s="5">
        <v>34366.47</v>
      </c>
      <c r="W1134" s="5">
        <v>14723.55</v>
      </c>
    </row>
    <row r="1135" spans="1:23" ht="60.75">
      <c r="A1135" s="3" t="s">
        <v>23</v>
      </c>
      <c r="B1135" s="3" t="s">
        <v>24</v>
      </c>
      <c r="C1135" s="3" t="s">
        <v>35</v>
      </c>
      <c r="D1135" s="3" t="s">
        <v>39</v>
      </c>
      <c r="E1135" s="3" t="s">
        <v>34</v>
      </c>
      <c r="F1135" s="3" t="s">
        <v>170</v>
      </c>
      <c r="G1135" s="3">
        <v>2016</v>
      </c>
      <c r="H1135" s="3" t="str">
        <f>CONCATENATE("64240812004")</f>
        <v>64240812004</v>
      </c>
      <c r="I1135" s="3" t="s">
        <v>25</v>
      </c>
      <c r="J1135" s="3" t="s">
        <v>26</v>
      </c>
      <c r="K1135" s="3" t="str">
        <f t="shared" si="40"/>
        <v/>
      </c>
      <c r="L1135" s="3" t="str">
        <f>CONCATENATE("11 11.2 4b")</f>
        <v>11 11.2 4b</v>
      </c>
      <c r="M1135" s="3" t="str">
        <f>CONCATENATE("GRGSFN70S12A271I")</f>
        <v>GRGSFN70S12A271I</v>
      </c>
      <c r="N1135" s="3" t="s">
        <v>1221</v>
      </c>
      <c r="O1135" s="3"/>
      <c r="P1135" s="4">
        <v>42783</v>
      </c>
      <c r="Q1135" s="3" t="s">
        <v>27</v>
      </c>
      <c r="R1135" s="3" t="s">
        <v>28</v>
      </c>
      <c r="S1135" s="3" t="s">
        <v>29</v>
      </c>
      <c r="T1135" s="5">
        <v>9814.74</v>
      </c>
      <c r="U1135" s="5">
        <v>4232.12</v>
      </c>
      <c r="V1135" s="5">
        <v>3908.23</v>
      </c>
      <c r="W1135" s="5">
        <v>1674.39</v>
      </c>
    </row>
    <row r="1136" spans="1:23" ht="60.75">
      <c r="A1136" s="3" t="s">
        <v>23</v>
      </c>
      <c r="B1136" s="3" t="s">
        <v>24</v>
      </c>
      <c r="C1136" s="3" t="s">
        <v>35</v>
      </c>
      <c r="D1136" s="3" t="s">
        <v>36</v>
      </c>
      <c r="E1136" s="3" t="s">
        <v>30</v>
      </c>
      <c r="F1136" s="3" t="s">
        <v>37</v>
      </c>
      <c r="G1136" s="3">
        <v>2016</v>
      </c>
      <c r="H1136" s="3" t="str">
        <f>CONCATENATE("64240388120")</f>
        <v>64240388120</v>
      </c>
      <c r="I1136" s="3" t="s">
        <v>25</v>
      </c>
      <c r="J1136" s="3" t="s">
        <v>26</v>
      </c>
      <c r="K1136" s="3" t="str">
        <f t="shared" si="40"/>
        <v/>
      </c>
      <c r="L1136" s="3" t="str">
        <f>CONCATENATE("11 11.1 4b")</f>
        <v>11 11.1 4b</v>
      </c>
      <c r="M1136" s="3" t="str">
        <f>CONCATENATE("SRVNDR84C02A252U")</f>
        <v>SRVNDR84C02A252U</v>
      </c>
      <c r="N1136" s="3" t="s">
        <v>1222</v>
      </c>
      <c r="O1136" s="3"/>
      <c r="P1136" s="4">
        <v>42783</v>
      </c>
      <c r="Q1136" s="3" t="s">
        <v>27</v>
      </c>
      <c r="R1136" s="3" t="s">
        <v>28</v>
      </c>
      <c r="S1136" s="3" t="s">
        <v>29</v>
      </c>
      <c r="T1136" s="3">
        <v>158.86000000000001</v>
      </c>
      <c r="U1136" s="3">
        <v>68.5</v>
      </c>
      <c r="V1136" s="3">
        <v>63.26</v>
      </c>
      <c r="W1136" s="3">
        <v>27.1</v>
      </c>
    </row>
    <row r="1137" spans="1:23" ht="60.75">
      <c r="A1137" s="3" t="s">
        <v>23</v>
      </c>
      <c r="B1137" s="3" t="s">
        <v>24</v>
      </c>
      <c r="C1137" s="3" t="s">
        <v>35</v>
      </c>
      <c r="D1137" s="3" t="s">
        <v>43</v>
      </c>
      <c r="E1137" s="3" t="s">
        <v>42</v>
      </c>
      <c r="F1137" s="3" t="s">
        <v>42</v>
      </c>
      <c r="G1137" s="3">
        <v>2016</v>
      </c>
      <c r="H1137" s="3" t="str">
        <f>CONCATENATE("64240292934")</f>
        <v>64240292934</v>
      </c>
      <c r="I1137" s="3" t="s">
        <v>25</v>
      </c>
      <c r="J1137" s="3" t="s">
        <v>26</v>
      </c>
      <c r="K1137" s="3" t="str">
        <f t="shared" si="40"/>
        <v/>
      </c>
      <c r="L1137" s="3" t="str">
        <f>CONCATENATE("11 11.2 4b")</f>
        <v>11 11.2 4b</v>
      </c>
      <c r="M1137" s="3" t="str">
        <f>CONCATENATE("CLNFNC53R07B816K")</f>
        <v>CLNFNC53R07B816K</v>
      </c>
      <c r="N1137" s="3" t="s">
        <v>1223</v>
      </c>
      <c r="O1137" s="3"/>
      <c r="P1137" s="4">
        <v>42783</v>
      </c>
      <c r="Q1137" s="3" t="s">
        <v>27</v>
      </c>
      <c r="R1137" s="3" t="s">
        <v>28</v>
      </c>
      <c r="S1137" s="3" t="s">
        <v>29</v>
      </c>
      <c r="T1137" s="5">
        <v>5848.84</v>
      </c>
      <c r="U1137" s="5">
        <v>2522.02</v>
      </c>
      <c r="V1137" s="5">
        <v>2329.0100000000002</v>
      </c>
      <c r="W1137" s="3">
        <v>997.81</v>
      </c>
    </row>
    <row r="1138" spans="1:23" ht="60.75">
      <c r="A1138" s="3" t="s">
        <v>23</v>
      </c>
      <c r="B1138" s="3" t="s">
        <v>24</v>
      </c>
      <c r="C1138" s="3" t="s">
        <v>35</v>
      </c>
      <c r="D1138" s="3" t="s">
        <v>48</v>
      </c>
      <c r="E1138" s="3" t="s">
        <v>30</v>
      </c>
      <c r="F1138" s="3" t="s">
        <v>111</v>
      </c>
      <c r="G1138" s="3">
        <v>2016</v>
      </c>
      <c r="H1138" s="3" t="str">
        <f>CONCATENATE("64240898839")</f>
        <v>64240898839</v>
      </c>
      <c r="I1138" s="3" t="s">
        <v>25</v>
      </c>
      <c r="J1138" s="3" t="s">
        <v>26</v>
      </c>
      <c r="K1138" s="3" t="str">
        <f t="shared" si="40"/>
        <v/>
      </c>
      <c r="L1138" s="3" t="str">
        <f>CONCATENATE("11 11.2 4b")</f>
        <v>11 11.2 4b</v>
      </c>
      <c r="M1138" s="3" t="str">
        <f>CONCATENATE("CMPGLG75T23E783N")</f>
        <v>CMPGLG75T23E783N</v>
      </c>
      <c r="N1138" s="3" t="s">
        <v>1224</v>
      </c>
      <c r="O1138" s="3"/>
      <c r="P1138" s="4">
        <v>42783</v>
      </c>
      <c r="Q1138" s="3" t="s">
        <v>27</v>
      </c>
      <c r="R1138" s="3" t="s">
        <v>28</v>
      </c>
      <c r="S1138" s="3" t="s">
        <v>29</v>
      </c>
      <c r="T1138" s="3">
        <v>762.82</v>
      </c>
      <c r="U1138" s="3">
        <v>328.93</v>
      </c>
      <c r="V1138" s="3">
        <v>303.75</v>
      </c>
      <c r="W1138" s="3">
        <v>130.13999999999999</v>
      </c>
    </row>
    <row r="1139" spans="1:23" ht="60.75">
      <c r="A1139" s="3" t="s">
        <v>23</v>
      </c>
      <c r="B1139" s="3" t="s">
        <v>24</v>
      </c>
      <c r="C1139" s="3" t="s">
        <v>35</v>
      </c>
      <c r="D1139" s="3" t="s">
        <v>43</v>
      </c>
      <c r="E1139" s="3" t="s">
        <v>33</v>
      </c>
      <c r="F1139" s="3" t="s">
        <v>848</v>
      </c>
      <c r="G1139" s="3">
        <v>2016</v>
      </c>
      <c r="H1139" s="3" t="str">
        <f>CONCATENATE("64240666012")</f>
        <v>64240666012</v>
      </c>
      <c r="I1139" s="3" t="s">
        <v>25</v>
      </c>
      <c r="J1139" s="3" t="s">
        <v>26</v>
      </c>
      <c r="K1139" s="3" t="str">
        <f t="shared" si="40"/>
        <v/>
      </c>
      <c r="L1139" s="3" t="str">
        <f>CONCATENATE("11 11.2 4b")</f>
        <v>11 11.2 4b</v>
      </c>
      <c r="M1139" s="3" t="str">
        <f>CONCATENATE("BCCSLL58H55G089C")</f>
        <v>BCCSLL58H55G089C</v>
      </c>
      <c r="N1139" s="3" t="s">
        <v>1225</v>
      </c>
      <c r="O1139" s="3"/>
      <c r="P1139" s="4">
        <v>42783</v>
      </c>
      <c r="Q1139" s="3" t="s">
        <v>27</v>
      </c>
      <c r="R1139" s="3" t="s">
        <v>28</v>
      </c>
      <c r="S1139" s="3" t="s">
        <v>29</v>
      </c>
      <c r="T1139" s="5">
        <v>1901.75</v>
      </c>
      <c r="U1139" s="3">
        <v>820.03</v>
      </c>
      <c r="V1139" s="3">
        <v>757.28</v>
      </c>
      <c r="W1139" s="3">
        <v>324.44</v>
      </c>
    </row>
    <row r="1140" spans="1:23" ht="60.75">
      <c r="A1140" s="3" t="s">
        <v>23</v>
      </c>
      <c r="B1140" s="3" t="s">
        <v>24</v>
      </c>
      <c r="C1140" s="3" t="s">
        <v>35</v>
      </c>
      <c r="D1140" s="3" t="s">
        <v>39</v>
      </c>
      <c r="E1140" s="3" t="s">
        <v>34</v>
      </c>
      <c r="F1140" s="3" t="s">
        <v>170</v>
      </c>
      <c r="G1140" s="3">
        <v>2016</v>
      </c>
      <c r="H1140" s="3" t="str">
        <f>CONCATENATE("64240701322")</f>
        <v>64240701322</v>
      </c>
      <c r="I1140" s="3" t="s">
        <v>25</v>
      </c>
      <c r="J1140" s="3" t="s">
        <v>26</v>
      </c>
      <c r="K1140" s="3" t="str">
        <f t="shared" si="40"/>
        <v/>
      </c>
      <c r="L1140" s="3" t="str">
        <f>CONCATENATE("11 11.2 4b")</f>
        <v>11 11.2 4b</v>
      </c>
      <c r="M1140" s="3" t="str">
        <f>CONCATENATE("ZMPSVN64S53L746N")</f>
        <v>ZMPSVN64S53L746N</v>
      </c>
      <c r="N1140" s="3" t="s">
        <v>1226</v>
      </c>
      <c r="O1140" s="3"/>
      <c r="P1140" s="4">
        <v>42783</v>
      </c>
      <c r="Q1140" s="3" t="s">
        <v>27</v>
      </c>
      <c r="R1140" s="3" t="s">
        <v>28</v>
      </c>
      <c r="S1140" s="3" t="s">
        <v>29</v>
      </c>
      <c r="T1140" s="5">
        <v>23750.38</v>
      </c>
      <c r="U1140" s="5">
        <v>10241.16</v>
      </c>
      <c r="V1140" s="5">
        <v>9457.4</v>
      </c>
      <c r="W1140" s="5">
        <v>4051.82</v>
      </c>
    </row>
    <row r="1141" spans="1:23" ht="60.75">
      <c r="A1141" s="3" t="s">
        <v>23</v>
      </c>
      <c r="B1141" s="3" t="s">
        <v>24</v>
      </c>
      <c r="C1141" s="3" t="s">
        <v>35</v>
      </c>
      <c r="D1141" s="3" t="s">
        <v>48</v>
      </c>
      <c r="E1141" s="3" t="s">
        <v>49</v>
      </c>
      <c r="F1141" s="3" t="s">
        <v>50</v>
      </c>
      <c r="G1141" s="3">
        <v>2016</v>
      </c>
      <c r="H1141" s="3" t="str">
        <f>CONCATENATE("64240641767")</f>
        <v>64240641767</v>
      </c>
      <c r="I1141" s="3" t="s">
        <v>25</v>
      </c>
      <c r="J1141" s="3" t="s">
        <v>26</v>
      </c>
      <c r="K1141" s="3" t="str">
        <f t="shared" si="40"/>
        <v/>
      </c>
      <c r="L1141" s="3" t="str">
        <f>CONCATENATE("11 11.1 4b")</f>
        <v>11 11.1 4b</v>
      </c>
      <c r="M1141" s="3" t="str">
        <f>CONCATENATE("GBRCRN64T58F496M")</f>
        <v>GBRCRN64T58F496M</v>
      </c>
      <c r="N1141" s="3" t="s">
        <v>1227</v>
      </c>
      <c r="O1141" s="3"/>
      <c r="P1141" s="4">
        <v>42783</v>
      </c>
      <c r="Q1141" s="3" t="s">
        <v>27</v>
      </c>
      <c r="R1141" s="3" t="s">
        <v>28</v>
      </c>
      <c r="S1141" s="3" t="s">
        <v>29</v>
      </c>
      <c r="T1141" s="5">
        <v>6657.44</v>
      </c>
      <c r="U1141" s="5">
        <v>2870.69</v>
      </c>
      <c r="V1141" s="5">
        <v>2650.99</v>
      </c>
      <c r="W1141" s="5">
        <v>1135.76</v>
      </c>
    </row>
    <row r="1142" spans="1:23" ht="60.75">
      <c r="A1142" s="3" t="s">
        <v>23</v>
      </c>
      <c r="B1142" s="3" t="s">
        <v>24</v>
      </c>
      <c r="C1142" s="3" t="s">
        <v>35</v>
      </c>
      <c r="D1142" s="3" t="s">
        <v>48</v>
      </c>
      <c r="E1142" s="3" t="s">
        <v>30</v>
      </c>
      <c r="F1142" s="3" t="s">
        <v>157</v>
      </c>
      <c r="G1142" s="3">
        <v>2016</v>
      </c>
      <c r="H1142" s="3" t="str">
        <f>CONCATENATE("64240755344")</f>
        <v>64240755344</v>
      </c>
      <c r="I1142" s="3" t="s">
        <v>25</v>
      </c>
      <c r="J1142" s="3" t="s">
        <v>26</v>
      </c>
      <c r="K1142" s="3" t="str">
        <f t="shared" si="40"/>
        <v/>
      </c>
      <c r="L1142" s="3" t="str">
        <f>CONCATENATE("11 11.1 4b")</f>
        <v>11 11.1 4b</v>
      </c>
      <c r="M1142" s="3" t="str">
        <f>CONCATENATE("GSTGNN34H23F552V")</f>
        <v>GSTGNN34H23F552V</v>
      </c>
      <c r="N1142" s="3" t="s">
        <v>1228</v>
      </c>
      <c r="O1142" s="3"/>
      <c r="P1142" s="4">
        <v>42783</v>
      </c>
      <c r="Q1142" s="3" t="s">
        <v>27</v>
      </c>
      <c r="R1142" s="3" t="s">
        <v>28</v>
      </c>
      <c r="S1142" s="3" t="s">
        <v>29</v>
      </c>
      <c r="T1142" s="3">
        <v>795.78</v>
      </c>
      <c r="U1142" s="3">
        <v>343.14</v>
      </c>
      <c r="V1142" s="3">
        <v>316.88</v>
      </c>
      <c r="W1142" s="3">
        <v>135.76</v>
      </c>
    </row>
    <row r="1143" spans="1:23" ht="60.75">
      <c r="A1143" s="3" t="s">
        <v>23</v>
      </c>
      <c r="B1143" s="3" t="s">
        <v>24</v>
      </c>
      <c r="C1143" s="3" t="s">
        <v>35</v>
      </c>
      <c r="D1143" s="3" t="s">
        <v>48</v>
      </c>
      <c r="E1143" s="3" t="s">
        <v>30</v>
      </c>
      <c r="F1143" s="3" t="s">
        <v>91</v>
      </c>
      <c r="G1143" s="3">
        <v>2016</v>
      </c>
      <c r="H1143" s="3" t="str">
        <f>CONCATENATE("64210545162")</f>
        <v>64210545162</v>
      </c>
      <c r="I1143" s="3" t="s">
        <v>25</v>
      </c>
      <c r="J1143" s="3" t="s">
        <v>26</v>
      </c>
      <c r="K1143" s="3" t="str">
        <f t="shared" si="40"/>
        <v/>
      </c>
      <c r="L1143" s="3" t="str">
        <f>CONCATENATE("13 13.1 4a")</f>
        <v>13 13.1 4a</v>
      </c>
      <c r="M1143" s="3" t="str">
        <f>CONCATENATE("SPEMNL95C17B474Y")</f>
        <v>SPEMNL95C17B474Y</v>
      </c>
      <c r="N1143" s="3" t="s">
        <v>1229</v>
      </c>
      <c r="O1143" s="3"/>
      <c r="P1143" s="4">
        <v>42783</v>
      </c>
      <c r="Q1143" s="3" t="s">
        <v>27</v>
      </c>
      <c r="R1143" s="3" t="s">
        <v>28</v>
      </c>
      <c r="S1143" s="3" t="s">
        <v>29</v>
      </c>
      <c r="T1143" s="5">
        <v>2111.39</v>
      </c>
      <c r="U1143" s="3">
        <v>910.43</v>
      </c>
      <c r="V1143" s="3">
        <v>840.76</v>
      </c>
      <c r="W1143" s="3">
        <v>360.2</v>
      </c>
    </row>
    <row r="1144" spans="1:23" ht="60.75">
      <c r="A1144" s="3" t="s">
        <v>23</v>
      </c>
      <c r="B1144" s="3" t="s">
        <v>24</v>
      </c>
      <c r="C1144" s="3" t="s">
        <v>35</v>
      </c>
      <c r="D1144" s="3" t="s">
        <v>36</v>
      </c>
      <c r="E1144" s="3" t="s">
        <v>30</v>
      </c>
      <c r="F1144" s="3" t="s">
        <v>37</v>
      </c>
      <c r="G1144" s="3">
        <v>2016</v>
      </c>
      <c r="H1144" s="3" t="str">
        <f>CONCATENATE("64210711129")</f>
        <v>64210711129</v>
      </c>
      <c r="I1144" s="3" t="s">
        <v>25</v>
      </c>
      <c r="J1144" s="3" t="s">
        <v>26</v>
      </c>
      <c r="K1144" s="3" t="str">
        <f t="shared" si="40"/>
        <v/>
      </c>
      <c r="L1144" s="3" t="str">
        <f>CONCATENATE("13 13.1 4a")</f>
        <v>13 13.1 4a</v>
      </c>
      <c r="M1144" s="3" t="str">
        <f>CONCATENATE("CCCCRL42A11H588P")</f>
        <v>CCCCRL42A11H588P</v>
      </c>
      <c r="N1144" s="3" t="s">
        <v>1230</v>
      </c>
      <c r="O1144" s="3"/>
      <c r="P1144" s="4">
        <v>42783</v>
      </c>
      <c r="Q1144" s="3" t="s">
        <v>27</v>
      </c>
      <c r="R1144" s="3" t="s">
        <v>28</v>
      </c>
      <c r="S1144" s="3" t="s">
        <v>29</v>
      </c>
      <c r="T1144" s="3">
        <v>844.82</v>
      </c>
      <c r="U1144" s="3">
        <v>364.29</v>
      </c>
      <c r="V1144" s="3">
        <v>336.41</v>
      </c>
      <c r="W1144" s="3">
        <v>144.12</v>
      </c>
    </row>
    <row r="1145" spans="1:23" ht="36.75">
      <c r="A1145" s="3" t="s">
        <v>23</v>
      </c>
      <c r="B1145" s="3" t="s">
        <v>24</v>
      </c>
      <c r="C1145" s="3" t="s">
        <v>35</v>
      </c>
      <c r="D1145" s="3" t="s">
        <v>43</v>
      </c>
      <c r="E1145" s="3" t="s">
        <v>30</v>
      </c>
      <c r="F1145" s="3" t="s">
        <v>104</v>
      </c>
      <c r="G1145" s="3">
        <v>2016</v>
      </c>
      <c r="H1145" s="3" t="str">
        <f>CONCATENATE("64240263570")</f>
        <v>64240263570</v>
      </c>
      <c r="I1145" s="3" t="s">
        <v>25</v>
      </c>
      <c r="J1145" s="3" t="s">
        <v>26</v>
      </c>
      <c r="K1145" s="3" t="str">
        <f t="shared" si="40"/>
        <v/>
      </c>
      <c r="L1145" s="3" t="str">
        <f>CONCATENATE("11 11.2 4b")</f>
        <v>11 11.2 4b</v>
      </c>
      <c r="M1145" s="3" t="str">
        <f>CONCATENATE("00800390411")</f>
        <v>00800390411</v>
      </c>
      <c r="N1145" s="3" t="s">
        <v>1231</v>
      </c>
      <c r="O1145" s="3"/>
      <c r="P1145" s="4">
        <v>42783</v>
      </c>
      <c r="Q1145" s="3" t="s">
        <v>27</v>
      </c>
      <c r="R1145" s="3" t="s">
        <v>28</v>
      </c>
      <c r="S1145" s="3" t="s">
        <v>29</v>
      </c>
      <c r="T1145" s="5">
        <v>1176.3800000000001</v>
      </c>
      <c r="U1145" s="3">
        <v>507.26</v>
      </c>
      <c r="V1145" s="3">
        <v>468.43</v>
      </c>
      <c r="W1145" s="3">
        <v>200.69</v>
      </c>
    </row>
    <row r="1146" spans="1:23" ht="60.75">
      <c r="A1146" s="3" t="s">
        <v>23</v>
      </c>
      <c r="B1146" s="3" t="s">
        <v>24</v>
      </c>
      <c r="C1146" s="3" t="s">
        <v>35</v>
      </c>
      <c r="D1146" s="3" t="s">
        <v>48</v>
      </c>
      <c r="E1146" s="3" t="s">
        <v>49</v>
      </c>
      <c r="F1146" s="3" t="s">
        <v>50</v>
      </c>
      <c r="G1146" s="3">
        <v>2016</v>
      </c>
      <c r="H1146" s="3" t="str">
        <f>CONCATENATE("64240580445")</f>
        <v>64240580445</v>
      </c>
      <c r="I1146" s="3" t="s">
        <v>25</v>
      </c>
      <c r="J1146" s="3" t="s">
        <v>26</v>
      </c>
      <c r="K1146" s="3" t="str">
        <f t="shared" si="40"/>
        <v/>
      </c>
      <c r="L1146" s="3" t="str">
        <f>CONCATENATE("11 11.2 4b")</f>
        <v>11 11.2 4b</v>
      </c>
      <c r="M1146" s="3" t="str">
        <f>CONCATENATE("PRCGNN69M03E323D")</f>
        <v>PRCGNN69M03E323D</v>
      </c>
      <c r="N1146" s="3" t="s">
        <v>1232</v>
      </c>
      <c r="O1146" s="3"/>
      <c r="P1146" s="4">
        <v>42783</v>
      </c>
      <c r="Q1146" s="3" t="s">
        <v>27</v>
      </c>
      <c r="R1146" s="3" t="s">
        <v>28</v>
      </c>
      <c r="S1146" s="3" t="s">
        <v>29</v>
      </c>
      <c r="T1146" s="5">
        <v>5801.27</v>
      </c>
      <c r="U1146" s="5">
        <v>2501.5100000000002</v>
      </c>
      <c r="V1146" s="5">
        <v>2310.0700000000002</v>
      </c>
      <c r="W1146" s="3">
        <v>989.69</v>
      </c>
    </row>
    <row r="1147" spans="1:23" ht="60.75">
      <c r="A1147" s="3" t="s">
        <v>23</v>
      </c>
      <c r="B1147" s="3" t="s">
        <v>24</v>
      </c>
      <c r="C1147" s="3" t="s">
        <v>35</v>
      </c>
      <c r="D1147" s="3" t="s">
        <v>43</v>
      </c>
      <c r="E1147" s="3" t="s">
        <v>32</v>
      </c>
      <c r="F1147" s="3" t="s">
        <v>44</v>
      </c>
      <c r="G1147" s="3">
        <v>2016</v>
      </c>
      <c r="H1147" s="3" t="str">
        <f>CONCATENATE("64240351391")</f>
        <v>64240351391</v>
      </c>
      <c r="I1147" s="3" t="s">
        <v>25</v>
      </c>
      <c r="J1147" s="3" t="s">
        <v>26</v>
      </c>
      <c r="K1147" s="3" t="str">
        <f t="shared" si="40"/>
        <v/>
      </c>
      <c r="L1147" s="3" t="str">
        <f>CONCATENATE("11 11.2 4b")</f>
        <v>11 11.2 4b</v>
      </c>
      <c r="M1147" s="3" t="str">
        <f>CONCATENATE("CHPCLS78P15Z603Y")</f>
        <v>CHPCLS78P15Z603Y</v>
      </c>
      <c r="N1147" s="3" t="s">
        <v>1233</v>
      </c>
      <c r="O1147" s="3"/>
      <c r="P1147" s="4">
        <v>42783</v>
      </c>
      <c r="Q1147" s="3" t="s">
        <v>27</v>
      </c>
      <c r="R1147" s="3" t="s">
        <v>28</v>
      </c>
      <c r="S1147" s="3" t="s">
        <v>29</v>
      </c>
      <c r="T1147" s="5">
        <v>4620.46</v>
      </c>
      <c r="U1147" s="5">
        <v>1992.34</v>
      </c>
      <c r="V1147" s="5">
        <v>1839.87</v>
      </c>
      <c r="W1147" s="3">
        <v>788.25</v>
      </c>
    </row>
    <row r="1148" spans="1:23" ht="60.75">
      <c r="A1148" s="3" t="s">
        <v>23</v>
      </c>
      <c r="B1148" s="3" t="s">
        <v>24</v>
      </c>
      <c r="C1148" s="3" t="s">
        <v>35</v>
      </c>
      <c r="D1148" s="3" t="s">
        <v>36</v>
      </c>
      <c r="E1148" s="3" t="s">
        <v>32</v>
      </c>
      <c r="F1148" s="3" t="s">
        <v>208</v>
      </c>
      <c r="G1148" s="3">
        <v>2016</v>
      </c>
      <c r="H1148" s="3" t="str">
        <f>CONCATENATE("64240340832")</f>
        <v>64240340832</v>
      </c>
      <c r="I1148" s="3" t="s">
        <v>25</v>
      </c>
      <c r="J1148" s="3" t="s">
        <v>26</v>
      </c>
      <c r="K1148" s="3" t="str">
        <f t="shared" si="40"/>
        <v/>
      </c>
      <c r="L1148" s="3" t="str">
        <f>CONCATENATE("11 11.2 4b")</f>
        <v>11 11.2 4b</v>
      </c>
      <c r="M1148" s="3" t="str">
        <f>CONCATENATE("PRZMLN66S61H321X")</f>
        <v>PRZMLN66S61H321X</v>
      </c>
      <c r="N1148" s="3" t="s">
        <v>1234</v>
      </c>
      <c r="O1148" s="3"/>
      <c r="P1148" s="4">
        <v>42783</v>
      </c>
      <c r="Q1148" s="3" t="s">
        <v>27</v>
      </c>
      <c r="R1148" s="3" t="s">
        <v>28</v>
      </c>
      <c r="S1148" s="3" t="s">
        <v>29</v>
      </c>
      <c r="T1148" s="5">
        <v>1979.22</v>
      </c>
      <c r="U1148" s="3">
        <v>853.44</v>
      </c>
      <c r="V1148" s="3">
        <v>788.13</v>
      </c>
      <c r="W1148" s="3">
        <v>337.65</v>
      </c>
    </row>
    <row r="1149" spans="1:23" ht="72.75">
      <c r="A1149" s="3" t="s">
        <v>23</v>
      </c>
      <c r="B1149" s="3" t="s">
        <v>24</v>
      </c>
      <c r="C1149" s="3" t="s">
        <v>35</v>
      </c>
      <c r="D1149" s="3" t="s">
        <v>39</v>
      </c>
      <c r="E1149" s="3" t="s">
        <v>32</v>
      </c>
      <c r="F1149" s="3" t="s">
        <v>69</v>
      </c>
      <c r="G1149" s="3">
        <v>2016</v>
      </c>
      <c r="H1149" s="3" t="str">
        <f>CONCATENATE("64240525952")</f>
        <v>64240525952</v>
      </c>
      <c r="I1149" s="3" t="s">
        <v>25</v>
      </c>
      <c r="J1149" s="3" t="s">
        <v>26</v>
      </c>
      <c r="K1149" s="3" t="str">
        <f t="shared" si="40"/>
        <v/>
      </c>
      <c r="L1149" s="3" t="str">
        <f>CONCATENATE("10 10.1 4a")</f>
        <v>10 10.1 4a</v>
      </c>
      <c r="M1149" s="3" t="str">
        <f>CONCATENATE("MNRDVD95H22I608R")</f>
        <v>MNRDVD95H22I608R</v>
      </c>
      <c r="N1149" s="3" t="s">
        <v>942</v>
      </c>
      <c r="O1149" s="3"/>
      <c r="P1149" s="4">
        <v>42783</v>
      </c>
      <c r="Q1149" s="3" t="s">
        <v>27</v>
      </c>
      <c r="R1149" s="3" t="s">
        <v>28</v>
      </c>
      <c r="S1149" s="3" t="s">
        <v>29</v>
      </c>
      <c r="T1149" s="5">
        <v>1328.79</v>
      </c>
      <c r="U1149" s="3">
        <v>572.97</v>
      </c>
      <c r="V1149" s="3">
        <v>529.12</v>
      </c>
      <c r="W1149" s="3">
        <v>226.7</v>
      </c>
    </row>
    <row r="1150" spans="1:23" ht="60.75">
      <c r="A1150" s="3" t="s">
        <v>23</v>
      </c>
      <c r="B1150" s="3" t="s">
        <v>24</v>
      </c>
      <c r="C1150" s="3" t="s">
        <v>35</v>
      </c>
      <c r="D1150" s="3" t="s">
        <v>36</v>
      </c>
      <c r="E1150" s="3" t="s">
        <v>30</v>
      </c>
      <c r="F1150" s="3" t="s">
        <v>257</v>
      </c>
      <c r="G1150" s="3">
        <v>2016</v>
      </c>
      <c r="H1150" s="3" t="str">
        <f>CONCATENATE("64240508859")</f>
        <v>64240508859</v>
      </c>
      <c r="I1150" s="3" t="s">
        <v>25</v>
      </c>
      <c r="J1150" s="3" t="s">
        <v>26</v>
      </c>
      <c r="K1150" s="3" t="str">
        <f t="shared" si="40"/>
        <v/>
      </c>
      <c r="L1150" s="3" t="str">
        <f>CONCATENATE("11 11.2 4b")</f>
        <v>11 11.2 4b</v>
      </c>
      <c r="M1150" s="3" t="str">
        <f>CONCATENATE("VNGGPP67H61F626O")</f>
        <v>VNGGPP67H61F626O</v>
      </c>
      <c r="N1150" s="3" t="s">
        <v>1235</v>
      </c>
      <c r="O1150" s="3"/>
      <c r="P1150" s="4">
        <v>42783</v>
      </c>
      <c r="Q1150" s="3" t="s">
        <v>27</v>
      </c>
      <c r="R1150" s="3" t="s">
        <v>28</v>
      </c>
      <c r="S1150" s="3" t="s">
        <v>29</v>
      </c>
      <c r="T1150" s="5">
        <v>6551.21</v>
      </c>
      <c r="U1150" s="5">
        <v>2824.88</v>
      </c>
      <c r="V1150" s="5">
        <v>2608.69</v>
      </c>
      <c r="W1150" s="5">
        <v>1117.6400000000001</v>
      </c>
    </row>
    <row r="1151" spans="1:23" ht="60.75">
      <c r="A1151" s="3" t="s">
        <v>23</v>
      </c>
      <c r="B1151" s="3" t="s">
        <v>24</v>
      </c>
      <c r="C1151" s="3" t="s">
        <v>35</v>
      </c>
      <c r="D1151" s="3" t="s">
        <v>39</v>
      </c>
      <c r="E1151" s="3" t="s">
        <v>34</v>
      </c>
      <c r="F1151" s="3" t="s">
        <v>170</v>
      </c>
      <c r="G1151" s="3">
        <v>2016</v>
      </c>
      <c r="H1151" s="3" t="str">
        <f>CONCATENATE("64240741708")</f>
        <v>64240741708</v>
      </c>
      <c r="I1151" s="3" t="s">
        <v>25</v>
      </c>
      <c r="J1151" s="3" t="s">
        <v>26</v>
      </c>
      <c r="K1151" s="3" t="str">
        <f t="shared" si="40"/>
        <v/>
      </c>
      <c r="L1151" s="3" t="str">
        <f>CONCATENATE("11 11.2 4b")</f>
        <v>11 11.2 4b</v>
      </c>
      <c r="M1151" s="3" t="str">
        <f>CONCATENATE("SMNNYT79H63G157C")</f>
        <v>SMNNYT79H63G157C</v>
      </c>
      <c r="N1151" s="3" t="s">
        <v>1236</v>
      </c>
      <c r="O1151" s="3"/>
      <c r="P1151" s="4">
        <v>42783</v>
      </c>
      <c r="Q1151" s="3" t="s">
        <v>27</v>
      </c>
      <c r="R1151" s="3" t="s">
        <v>28</v>
      </c>
      <c r="S1151" s="3" t="s">
        <v>29</v>
      </c>
      <c r="T1151" s="5">
        <v>1200.55</v>
      </c>
      <c r="U1151" s="3">
        <v>517.67999999999995</v>
      </c>
      <c r="V1151" s="3">
        <v>478.06</v>
      </c>
      <c r="W1151" s="3">
        <v>204.81</v>
      </c>
    </row>
    <row r="1152" spans="1:23" ht="60.75">
      <c r="A1152" s="3" t="s">
        <v>23</v>
      </c>
      <c r="B1152" s="3" t="s">
        <v>24</v>
      </c>
      <c r="C1152" s="3" t="s">
        <v>35</v>
      </c>
      <c r="D1152" s="3" t="s">
        <v>43</v>
      </c>
      <c r="E1152" s="3" t="s">
        <v>32</v>
      </c>
      <c r="F1152" s="3" t="s">
        <v>575</v>
      </c>
      <c r="G1152" s="3">
        <v>2016</v>
      </c>
      <c r="H1152" s="3" t="str">
        <f>CONCATENATE("64240273108")</f>
        <v>64240273108</v>
      </c>
      <c r="I1152" s="3" t="s">
        <v>25</v>
      </c>
      <c r="J1152" s="3" t="s">
        <v>26</v>
      </c>
      <c r="K1152" s="3" t="str">
        <f t="shared" si="40"/>
        <v/>
      </c>
      <c r="L1152" s="3" t="str">
        <f>CONCATENATE("11 11.1 4b")</f>
        <v>11 11.1 4b</v>
      </c>
      <c r="M1152" s="3" t="str">
        <f>CONCATENATE("BSCMHL87P14D488L")</f>
        <v>BSCMHL87P14D488L</v>
      </c>
      <c r="N1152" s="3" t="s">
        <v>1237</v>
      </c>
      <c r="O1152" s="3"/>
      <c r="P1152" s="4">
        <v>42783</v>
      </c>
      <c r="Q1152" s="3" t="s">
        <v>27</v>
      </c>
      <c r="R1152" s="3" t="s">
        <v>28</v>
      </c>
      <c r="S1152" s="3" t="s">
        <v>29</v>
      </c>
      <c r="T1152" s="5">
        <v>4269.07</v>
      </c>
      <c r="U1152" s="5">
        <v>1840.82</v>
      </c>
      <c r="V1152" s="5">
        <v>1699.94</v>
      </c>
      <c r="W1152" s="3">
        <v>728.31</v>
      </c>
    </row>
    <row r="1153" spans="1:23" ht="36.75">
      <c r="A1153" s="3" t="s">
        <v>23</v>
      </c>
      <c r="B1153" s="3" t="s">
        <v>24</v>
      </c>
      <c r="C1153" s="3" t="s">
        <v>35</v>
      </c>
      <c r="D1153" s="3" t="s">
        <v>36</v>
      </c>
      <c r="E1153" s="3" t="s">
        <v>30</v>
      </c>
      <c r="F1153" s="3" t="s">
        <v>37</v>
      </c>
      <c r="G1153" s="3">
        <v>2016</v>
      </c>
      <c r="H1153" s="3" t="str">
        <f>CONCATENATE("64240610440")</f>
        <v>64240610440</v>
      </c>
      <c r="I1153" s="3" t="s">
        <v>25</v>
      </c>
      <c r="J1153" s="3" t="s">
        <v>26</v>
      </c>
      <c r="K1153" s="3" t="str">
        <f t="shared" si="40"/>
        <v/>
      </c>
      <c r="L1153" s="3" t="str">
        <f>CONCATENATE("10 10.1 4b")</f>
        <v>10 10.1 4b</v>
      </c>
      <c r="M1153" s="3" t="str">
        <f>CONCATENATE("00746520444")</f>
        <v>00746520444</v>
      </c>
      <c r="N1153" s="3" t="s">
        <v>1238</v>
      </c>
      <c r="O1153" s="3"/>
      <c r="P1153" s="4">
        <v>42783</v>
      </c>
      <c r="Q1153" s="3" t="s">
        <v>27</v>
      </c>
      <c r="R1153" s="3" t="s">
        <v>28</v>
      </c>
      <c r="S1153" s="3" t="s">
        <v>29</v>
      </c>
      <c r="T1153" s="5">
        <v>4867.16</v>
      </c>
      <c r="U1153" s="5">
        <v>2098.7199999999998</v>
      </c>
      <c r="V1153" s="5">
        <v>1938.1</v>
      </c>
      <c r="W1153" s="3">
        <v>830.34</v>
      </c>
    </row>
    <row r="1154" spans="1:23" ht="36.75">
      <c r="A1154" s="3" t="s">
        <v>23</v>
      </c>
      <c r="B1154" s="3" t="s">
        <v>24</v>
      </c>
      <c r="C1154" s="3" t="s">
        <v>35</v>
      </c>
      <c r="D1154" s="3" t="s">
        <v>48</v>
      </c>
      <c r="E1154" s="3" t="s">
        <v>30</v>
      </c>
      <c r="F1154" s="3" t="s">
        <v>157</v>
      </c>
      <c r="G1154" s="3">
        <v>2016</v>
      </c>
      <c r="H1154" s="3" t="str">
        <f>CONCATENATE("64210976417")</f>
        <v>64210976417</v>
      </c>
      <c r="I1154" s="3" t="s">
        <v>25</v>
      </c>
      <c r="J1154" s="3" t="s">
        <v>26</v>
      </c>
      <c r="K1154" s="3" t="str">
        <f t="shared" si="40"/>
        <v/>
      </c>
      <c r="L1154" s="3" t="str">
        <f>CONCATENATE("13 13.1 4a")</f>
        <v>13 13.1 4a</v>
      </c>
      <c r="M1154" s="3" t="str">
        <f>CONCATENATE("01727390435")</f>
        <v>01727390435</v>
      </c>
      <c r="N1154" s="3" t="s">
        <v>368</v>
      </c>
      <c r="O1154" s="3"/>
      <c r="P1154" s="4">
        <v>42783</v>
      </c>
      <c r="Q1154" s="3" t="s">
        <v>27</v>
      </c>
      <c r="R1154" s="3" t="s">
        <v>28</v>
      </c>
      <c r="S1154" s="3" t="s">
        <v>29</v>
      </c>
      <c r="T1154" s="5">
        <v>5400</v>
      </c>
      <c r="U1154" s="5">
        <v>2328.48</v>
      </c>
      <c r="V1154" s="5">
        <v>2150.2800000000002</v>
      </c>
      <c r="W1154" s="3">
        <v>921.24</v>
      </c>
    </row>
    <row r="1155" spans="1:23" ht="60.75">
      <c r="A1155" s="3" t="s">
        <v>23</v>
      </c>
      <c r="B1155" s="3" t="s">
        <v>24</v>
      </c>
      <c r="C1155" s="3" t="s">
        <v>35</v>
      </c>
      <c r="D1155" s="3" t="s">
        <v>43</v>
      </c>
      <c r="E1155" s="3" t="s">
        <v>30</v>
      </c>
      <c r="F1155" s="3" t="s">
        <v>113</v>
      </c>
      <c r="G1155" s="3">
        <v>2016</v>
      </c>
      <c r="H1155" s="3" t="str">
        <f>CONCATENATE("64211064437")</f>
        <v>64211064437</v>
      </c>
      <c r="I1155" s="3" t="s">
        <v>25</v>
      </c>
      <c r="J1155" s="3" t="s">
        <v>26</v>
      </c>
      <c r="K1155" s="3" t="str">
        <f t="shared" si="40"/>
        <v/>
      </c>
      <c r="L1155" s="3" t="str">
        <f>CONCATENATE("13 13.1 4a")</f>
        <v>13 13.1 4a</v>
      </c>
      <c r="M1155" s="3" t="str">
        <f>CONCATENATE("MRTLSN58B21A327E")</f>
        <v>MRTLSN58B21A327E</v>
      </c>
      <c r="N1155" s="3" t="s">
        <v>1239</v>
      </c>
      <c r="O1155" s="3"/>
      <c r="P1155" s="4">
        <v>42783</v>
      </c>
      <c r="Q1155" s="3" t="s">
        <v>27</v>
      </c>
      <c r="R1155" s="3" t="s">
        <v>28</v>
      </c>
      <c r="S1155" s="3" t="s">
        <v>29</v>
      </c>
      <c r="T1155" s="5">
        <v>1944.41</v>
      </c>
      <c r="U1155" s="3">
        <v>838.43</v>
      </c>
      <c r="V1155" s="3">
        <v>774.26</v>
      </c>
      <c r="W1155" s="3">
        <v>331.72</v>
      </c>
    </row>
    <row r="1156" spans="1:23" ht="36.75">
      <c r="A1156" s="3" t="s">
        <v>23</v>
      </c>
      <c r="B1156" s="3" t="s">
        <v>24</v>
      </c>
      <c r="C1156" s="3" t="s">
        <v>35</v>
      </c>
      <c r="D1156" s="3" t="s">
        <v>48</v>
      </c>
      <c r="E1156" s="3" t="s">
        <v>34</v>
      </c>
      <c r="F1156" s="3" t="s">
        <v>141</v>
      </c>
      <c r="G1156" s="3">
        <v>2016</v>
      </c>
      <c r="H1156" s="3" t="str">
        <f>CONCATENATE("64240634986")</f>
        <v>64240634986</v>
      </c>
      <c r="I1156" s="3" t="s">
        <v>31</v>
      </c>
      <c r="J1156" s="3" t="s">
        <v>26</v>
      </c>
      <c r="K1156" s="3" t="str">
        <f t="shared" si="40"/>
        <v/>
      </c>
      <c r="L1156" s="3" t="str">
        <f>CONCATENATE("11 11.2 4b")</f>
        <v>11 11.2 4b</v>
      </c>
      <c r="M1156" s="3" t="str">
        <f>CONCATENATE("01112570435")</f>
        <v>01112570435</v>
      </c>
      <c r="N1156" s="3" t="s">
        <v>1240</v>
      </c>
      <c r="O1156" s="3"/>
      <c r="P1156" s="4">
        <v>42783</v>
      </c>
      <c r="Q1156" s="3" t="s">
        <v>27</v>
      </c>
      <c r="R1156" s="3" t="s">
        <v>28</v>
      </c>
      <c r="S1156" s="3" t="s">
        <v>29</v>
      </c>
      <c r="T1156" s="5">
        <v>7581.15</v>
      </c>
      <c r="U1156" s="5">
        <v>3268.99</v>
      </c>
      <c r="V1156" s="5">
        <v>3018.81</v>
      </c>
      <c r="W1156" s="5">
        <v>1293.3499999999999</v>
      </c>
    </row>
    <row r="1157" spans="1:23" ht="72.75">
      <c r="A1157" s="3" t="s">
        <v>23</v>
      </c>
      <c r="B1157" s="3" t="s">
        <v>24</v>
      </c>
      <c r="C1157" s="3" t="s">
        <v>35</v>
      </c>
      <c r="D1157" s="3" t="s">
        <v>36</v>
      </c>
      <c r="E1157" s="3" t="s">
        <v>42</v>
      </c>
      <c r="F1157" s="3" t="s">
        <v>42</v>
      </c>
      <c r="G1157" s="3">
        <v>2016</v>
      </c>
      <c r="H1157" s="3" t="str">
        <f>CONCATENATE("64240185765")</f>
        <v>64240185765</v>
      </c>
      <c r="I1157" s="3" t="s">
        <v>25</v>
      </c>
      <c r="J1157" s="3" t="s">
        <v>26</v>
      </c>
      <c r="K1157" s="3" t="str">
        <f t="shared" si="40"/>
        <v/>
      </c>
      <c r="L1157" s="3" t="str">
        <f>CONCATENATE("11 11.2 4b")</f>
        <v>11 11.2 4b</v>
      </c>
      <c r="M1157" s="3" t="str">
        <f>CONCATENATE("MRNFNC64H41H769R")</f>
        <v>MRNFNC64H41H769R</v>
      </c>
      <c r="N1157" s="3" t="s">
        <v>1241</v>
      </c>
      <c r="O1157" s="3"/>
      <c r="P1157" s="4">
        <v>42783</v>
      </c>
      <c r="Q1157" s="3" t="s">
        <v>27</v>
      </c>
      <c r="R1157" s="3" t="s">
        <v>28</v>
      </c>
      <c r="S1157" s="3" t="s">
        <v>29</v>
      </c>
      <c r="T1157" s="5">
        <v>2227.77</v>
      </c>
      <c r="U1157" s="3">
        <v>960.61</v>
      </c>
      <c r="V1157" s="3">
        <v>887.1</v>
      </c>
      <c r="W1157" s="3">
        <v>380.06</v>
      </c>
    </row>
    <row r="1158" spans="1:23" ht="72.75">
      <c r="A1158" s="3" t="s">
        <v>23</v>
      </c>
      <c r="B1158" s="3" t="s">
        <v>24</v>
      </c>
      <c r="C1158" s="3" t="s">
        <v>35</v>
      </c>
      <c r="D1158" s="3" t="s">
        <v>48</v>
      </c>
      <c r="E1158" s="3" t="s">
        <v>34</v>
      </c>
      <c r="F1158" s="3" t="s">
        <v>141</v>
      </c>
      <c r="G1158" s="3">
        <v>2016</v>
      </c>
      <c r="H1158" s="3" t="str">
        <f>CONCATENATE("64240570743")</f>
        <v>64240570743</v>
      </c>
      <c r="I1158" s="3" t="s">
        <v>25</v>
      </c>
      <c r="J1158" s="3" t="s">
        <v>26</v>
      </c>
      <c r="K1158" s="3" t="str">
        <f t="shared" si="40"/>
        <v/>
      </c>
      <c r="L1158" s="3" t="str">
        <f>CONCATENATE("11 11.2 4b")</f>
        <v>11 11.2 4b</v>
      </c>
      <c r="M1158" s="3" t="str">
        <f>CONCATENATE("MZZPRZ55H59D042G")</f>
        <v>MZZPRZ55H59D042G</v>
      </c>
      <c r="N1158" s="3" t="s">
        <v>1242</v>
      </c>
      <c r="O1158" s="3"/>
      <c r="P1158" s="4">
        <v>42783</v>
      </c>
      <c r="Q1158" s="3" t="s">
        <v>27</v>
      </c>
      <c r="R1158" s="3" t="s">
        <v>28</v>
      </c>
      <c r="S1158" s="3" t="s">
        <v>29</v>
      </c>
      <c r="T1158" s="3">
        <v>761.04</v>
      </c>
      <c r="U1158" s="3">
        <v>328.16</v>
      </c>
      <c r="V1158" s="3">
        <v>303.05</v>
      </c>
      <c r="W1158" s="3">
        <v>129.83000000000001</v>
      </c>
    </row>
    <row r="1159" spans="1:23" ht="72.75">
      <c r="A1159" s="3" t="s">
        <v>23</v>
      </c>
      <c r="B1159" s="3" t="s">
        <v>24</v>
      </c>
      <c r="C1159" s="3" t="s">
        <v>35</v>
      </c>
      <c r="D1159" s="3" t="s">
        <v>48</v>
      </c>
      <c r="E1159" s="3" t="s">
        <v>49</v>
      </c>
      <c r="F1159" s="3" t="s">
        <v>50</v>
      </c>
      <c r="G1159" s="3">
        <v>2016</v>
      </c>
      <c r="H1159" s="3" t="str">
        <f>CONCATENATE("64240286324")</f>
        <v>64240286324</v>
      </c>
      <c r="I1159" s="3" t="s">
        <v>31</v>
      </c>
      <c r="J1159" s="3" t="s">
        <v>26</v>
      </c>
      <c r="K1159" s="3" t="str">
        <f t="shared" si="40"/>
        <v/>
      </c>
      <c r="L1159" s="3" t="str">
        <f>CONCATENATE("11 11.2 4b")</f>
        <v>11 11.2 4b</v>
      </c>
      <c r="M1159" s="3" t="str">
        <f>CONCATENATE("MNGGNN43L60D042R")</f>
        <v>MNGGNN43L60D042R</v>
      </c>
      <c r="N1159" s="3" t="s">
        <v>1243</v>
      </c>
      <c r="O1159" s="3"/>
      <c r="P1159" s="4">
        <v>42783</v>
      </c>
      <c r="Q1159" s="3" t="s">
        <v>27</v>
      </c>
      <c r="R1159" s="3" t="s">
        <v>28</v>
      </c>
      <c r="S1159" s="3" t="s">
        <v>29</v>
      </c>
      <c r="T1159" s="5">
        <v>1239.6600000000001</v>
      </c>
      <c r="U1159" s="3">
        <v>534.54</v>
      </c>
      <c r="V1159" s="3">
        <v>493.63</v>
      </c>
      <c r="W1159" s="3">
        <v>211.49</v>
      </c>
    </row>
    <row r="1160" spans="1:23" ht="36.75">
      <c r="A1160" s="3" t="s">
        <v>23</v>
      </c>
      <c r="B1160" s="3" t="s">
        <v>24</v>
      </c>
      <c r="C1160" s="3" t="s">
        <v>35</v>
      </c>
      <c r="D1160" s="3" t="s">
        <v>43</v>
      </c>
      <c r="E1160" s="3" t="s">
        <v>30</v>
      </c>
      <c r="F1160" s="3" t="s">
        <v>124</v>
      </c>
      <c r="G1160" s="3">
        <v>2016</v>
      </c>
      <c r="H1160" s="3" t="str">
        <f>CONCATENATE("64210927535")</f>
        <v>64210927535</v>
      </c>
      <c r="I1160" s="3" t="s">
        <v>25</v>
      </c>
      <c r="J1160" s="3" t="s">
        <v>26</v>
      </c>
      <c r="K1160" s="3" t="str">
        <f t="shared" si="40"/>
        <v/>
      </c>
      <c r="L1160" s="3" t="str">
        <f>CONCATENATE("13 13.1 4a")</f>
        <v>13 13.1 4a</v>
      </c>
      <c r="M1160" s="3" t="str">
        <f>CONCATENATE("02605800412")</f>
        <v>02605800412</v>
      </c>
      <c r="N1160" s="3" t="s">
        <v>426</v>
      </c>
      <c r="O1160" s="3"/>
      <c r="P1160" s="4">
        <v>42783</v>
      </c>
      <c r="Q1160" s="3" t="s">
        <v>27</v>
      </c>
      <c r="R1160" s="3" t="s">
        <v>28</v>
      </c>
      <c r="S1160" s="3" t="s">
        <v>29</v>
      </c>
      <c r="T1160" s="5">
        <v>4544.1000000000004</v>
      </c>
      <c r="U1160" s="5">
        <v>1959.42</v>
      </c>
      <c r="V1160" s="5">
        <v>1809.46</v>
      </c>
      <c r="W1160" s="3">
        <v>775.22</v>
      </c>
    </row>
    <row r="1161" spans="1:23" ht="60.75">
      <c r="A1161" s="3" t="s">
        <v>23</v>
      </c>
      <c r="B1161" s="3" t="s">
        <v>24</v>
      </c>
      <c r="C1161" s="3" t="s">
        <v>35</v>
      </c>
      <c r="D1161" s="3" t="s">
        <v>43</v>
      </c>
      <c r="E1161" s="3" t="s">
        <v>30</v>
      </c>
      <c r="F1161" s="3" t="s">
        <v>124</v>
      </c>
      <c r="G1161" s="3">
        <v>2016</v>
      </c>
      <c r="H1161" s="3" t="str">
        <f>CONCATENATE("64210723330")</f>
        <v>64210723330</v>
      </c>
      <c r="I1161" s="3" t="s">
        <v>25</v>
      </c>
      <c r="J1161" s="3" t="s">
        <v>26</v>
      </c>
      <c r="K1161" s="3" t="str">
        <f t="shared" si="40"/>
        <v/>
      </c>
      <c r="L1161" s="3" t="str">
        <f>CONCATENATE("13 13.1 4a")</f>
        <v>13 13.1 4a</v>
      </c>
      <c r="M1161" s="3" t="str">
        <f>CONCATENATE("BNGSRG50R27I287I")</f>
        <v>BNGSRG50R27I287I</v>
      </c>
      <c r="N1161" s="3" t="s">
        <v>1244</v>
      </c>
      <c r="O1161" s="3"/>
      <c r="P1161" s="4">
        <v>42783</v>
      </c>
      <c r="Q1161" s="3" t="s">
        <v>27</v>
      </c>
      <c r="R1161" s="3" t="s">
        <v>28</v>
      </c>
      <c r="S1161" s="3" t="s">
        <v>29</v>
      </c>
      <c r="T1161" s="5">
        <v>1235.21</v>
      </c>
      <c r="U1161" s="3">
        <v>532.62</v>
      </c>
      <c r="V1161" s="3">
        <v>491.86</v>
      </c>
      <c r="W1161" s="3">
        <v>210.73</v>
      </c>
    </row>
    <row r="1162" spans="1:23" ht="36.75">
      <c r="A1162" s="3" t="s">
        <v>23</v>
      </c>
      <c r="B1162" s="3" t="s">
        <v>24</v>
      </c>
      <c r="C1162" s="3" t="s">
        <v>35</v>
      </c>
      <c r="D1162" s="3" t="s">
        <v>36</v>
      </c>
      <c r="E1162" s="3" t="s">
        <v>42</v>
      </c>
      <c r="F1162" s="3" t="s">
        <v>42</v>
      </c>
      <c r="G1162" s="3">
        <v>2016</v>
      </c>
      <c r="H1162" s="3" t="str">
        <f>CONCATENATE("64240332409")</f>
        <v>64240332409</v>
      </c>
      <c r="I1162" s="3" t="s">
        <v>25</v>
      </c>
      <c r="J1162" s="3" t="s">
        <v>26</v>
      </c>
      <c r="K1162" s="3" t="str">
        <f t="shared" si="40"/>
        <v/>
      </c>
      <c r="L1162" s="3" t="str">
        <f>CONCATENATE("11 11.2 4b")</f>
        <v>11 11.2 4b</v>
      </c>
      <c r="M1162" s="3" t="str">
        <f>CONCATENATE("01514140449")</f>
        <v>01514140449</v>
      </c>
      <c r="N1162" s="3" t="s">
        <v>1245</v>
      </c>
      <c r="O1162" s="3"/>
      <c r="P1162" s="4">
        <v>42783</v>
      </c>
      <c r="Q1162" s="3" t="s">
        <v>27</v>
      </c>
      <c r="R1162" s="3" t="s">
        <v>28</v>
      </c>
      <c r="S1162" s="3" t="s">
        <v>29</v>
      </c>
      <c r="T1162" s="5">
        <v>3432.26</v>
      </c>
      <c r="U1162" s="5">
        <v>1479.99</v>
      </c>
      <c r="V1162" s="5">
        <v>1366.73</v>
      </c>
      <c r="W1162" s="3">
        <v>585.54</v>
      </c>
    </row>
    <row r="1163" spans="1:23" ht="36.75">
      <c r="A1163" s="3" t="s">
        <v>23</v>
      </c>
      <c r="B1163" s="3" t="s">
        <v>24</v>
      </c>
      <c r="C1163" s="3" t="s">
        <v>35</v>
      </c>
      <c r="D1163" s="3" t="s">
        <v>43</v>
      </c>
      <c r="E1163" s="3" t="s">
        <v>30</v>
      </c>
      <c r="F1163" s="3" t="s">
        <v>131</v>
      </c>
      <c r="G1163" s="3">
        <v>2016</v>
      </c>
      <c r="H1163" s="3" t="str">
        <f>CONCATENATE("64210932295")</f>
        <v>64210932295</v>
      </c>
      <c r="I1163" s="3" t="s">
        <v>25</v>
      </c>
      <c r="J1163" s="3" t="s">
        <v>26</v>
      </c>
      <c r="K1163" s="3" t="str">
        <f t="shared" si="40"/>
        <v/>
      </c>
      <c r="L1163" s="3" t="str">
        <f>CONCATENATE("13 13.1 4a")</f>
        <v>13 13.1 4a</v>
      </c>
      <c r="M1163" s="3" t="str">
        <f>CONCATENATE("02393390410")</f>
        <v>02393390410</v>
      </c>
      <c r="N1163" s="3" t="s">
        <v>1246</v>
      </c>
      <c r="O1163" s="3"/>
      <c r="P1163" s="4">
        <v>42783</v>
      </c>
      <c r="Q1163" s="3" t="s">
        <v>27</v>
      </c>
      <c r="R1163" s="3" t="s">
        <v>28</v>
      </c>
      <c r="S1163" s="3" t="s">
        <v>29</v>
      </c>
      <c r="T1163" s="5">
        <v>4045.17</v>
      </c>
      <c r="U1163" s="5">
        <v>1744.28</v>
      </c>
      <c r="V1163" s="5">
        <v>1610.79</v>
      </c>
      <c r="W1163" s="3">
        <v>690.1</v>
      </c>
    </row>
    <row r="1164" spans="1:23" ht="60.75">
      <c r="A1164" s="3" t="s">
        <v>23</v>
      </c>
      <c r="B1164" s="3" t="s">
        <v>24</v>
      </c>
      <c r="C1164" s="3" t="s">
        <v>35</v>
      </c>
      <c r="D1164" s="3" t="s">
        <v>48</v>
      </c>
      <c r="E1164" s="3" t="s">
        <v>49</v>
      </c>
      <c r="F1164" s="3" t="s">
        <v>50</v>
      </c>
      <c r="G1164" s="3">
        <v>2016</v>
      </c>
      <c r="H1164" s="3" t="str">
        <f>CONCATENATE("64210859795")</f>
        <v>64210859795</v>
      </c>
      <c r="I1164" s="3" t="s">
        <v>25</v>
      </c>
      <c r="J1164" s="3" t="s">
        <v>26</v>
      </c>
      <c r="K1164" s="3" t="str">
        <f t="shared" si="40"/>
        <v/>
      </c>
      <c r="L1164" s="3" t="str">
        <f>CONCATENATE("13 13.1 4a")</f>
        <v>13 13.1 4a</v>
      </c>
      <c r="M1164" s="3" t="str">
        <f>CONCATENATE("BBNNNA76B69Z154N")</f>
        <v>BBNNNA76B69Z154N</v>
      </c>
      <c r="N1164" s="3" t="s">
        <v>1247</v>
      </c>
      <c r="O1164" s="3"/>
      <c r="P1164" s="4">
        <v>42783</v>
      </c>
      <c r="Q1164" s="3" t="s">
        <v>27</v>
      </c>
      <c r="R1164" s="3" t="s">
        <v>28</v>
      </c>
      <c r="S1164" s="3" t="s">
        <v>29</v>
      </c>
      <c r="T1164" s="5">
        <v>2920.15</v>
      </c>
      <c r="U1164" s="5">
        <v>1259.17</v>
      </c>
      <c r="V1164" s="5">
        <v>1162.8</v>
      </c>
      <c r="W1164" s="3">
        <v>498.18</v>
      </c>
    </row>
    <row r="1165" spans="1:23" ht="60.75">
      <c r="A1165" s="3" t="s">
        <v>23</v>
      </c>
      <c r="B1165" s="3" t="s">
        <v>24</v>
      </c>
      <c r="C1165" s="3" t="s">
        <v>35</v>
      </c>
      <c r="D1165" s="3" t="s">
        <v>43</v>
      </c>
      <c r="E1165" s="3" t="s">
        <v>30</v>
      </c>
      <c r="F1165" s="3" t="s">
        <v>131</v>
      </c>
      <c r="G1165" s="3">
        <v>2016</v>
      </c>
      <c r="H1165" s="3" t="str">
        <f>CONCATENATE("64211051400")</f>
        <v>64211051400</v>
      </c>
      <c r="I1165" s="3" t="s">
        <v>25</v>
      </c>
      <c r="J1165" s="3" t="s">
        <v>26</v>
      </c>
      <c r="K1165" s="3" t="str">
        <f t="shared" si="40"/>
        <v/>
      </c>
      <c r="L1165" s="3" t="str">
        <f>CONCATENATE("13 13.1 4a")</f>
        <v>13 13.1 4a</v>
      </c>
      <c r="M1165" s="3" t="str">
        <f>CONCATENATE("CLVLRA86B51D451O")</f>
        <v>CLVLRA86B51D451O</v>
      </c>
      <c r="N1165" s="3" t="s">
        <v>1248</v>
      </c>
      <c r="O1165" s="3"/>
      <c r="P1165" s="4">
        <v>42783</v>
      </c>
      <c r="Q1165" s="3" t="s">
        <v>27</v>
      </c>
      <c r="R1165" s="3" t="s">
        <v>28</v>
      </c>
      <c r="S1165" s="3" t="s">
        <v>29</v>
      </c>
      <c r="T1165" s="5">
        <v>4189.62</v>
      </c>
      <c r="U1165" s="5">
        <v>1806.56</v>
      </c>
      <c r="V1165" s="5">
        <v>1668.31</v>
      </c>
      <c r="W1165" s="3">
        <v>714.75</v>
      </c>
    </row>
    <row r="1166" spans="1:23" ht="60.75">
      <c r="A1166" s="3" t="s">
        <v>23</v>
      </c>
      <c r="B1166" s="3" t="s">
        <v>24</v>
      </c>
      <c r="C1166" s="3" t="s">
        <v>35</v>
      </c>
      <c r="D1166" s="3" t="s">
        <v>43</v>
      </c>
      <c r="E1166" s="3" t="s">
        <v>30</v>
      </c>
      <c r="F1166" s="3" t="s">
        <v>113</v>
      </c>
      <c r="G1166" s="3">
        <v>2016</v>
      </c>
      <c r="H1166" s="3" t="str">
        <f>CONCATENATE("64240667135")</f>
        <v>64240667135</v>
      </c>
      <c r="I1166" s="3" t="s">
        <v>25</v>
      </c>
      <c r="J1166" s="3" t="s">
        <v>26</v>
      </c>
      <c r="K1166" s="3" t="str">
        <f t="shared" si="40"/>
        <v/>
      </c>
      <c r="L1166" s="3" t="str">
        <f>CONCATENATE("10 10.1 4a")</f>
        <v>10 10.1 4a</v>
      </c>
      <c r="M1166" s="3" t="str">
        <f>CONCATENATE("TRVGPP74L22E256W")</f>
        <v>TRVGPP74L22E256W</v>
      </c>
      <c r="N1166" s="3" t="s">
        <v>392</v>
      </c>
      <c r="O1166" s="3"/>
      <c r="P1166" s="4">
        <v>42783</v>
      </c>
      <c r="Q1166" s="3" t="s">
        <v>27</v>
      </c>
      <c r="R1166" s="3" t="s">
        <v>28</v>
      </c>
      <c r="S1166" s="3" t="s">
        <v>29</v>
      </c>
      <c r="T1166" s="5">
        <v>2274.4699999999998</v>
      </c>
      <c r="U1166" s="3">
        <v>980.75</v>
      </c>
      <c r="V1166" s="3">
        <v>905.69</v>
      </c>
      <c r="W1166" s="3">
        <v>388.03</v>
      </c>
    </row>
    <row r="1167" spans="1:23" ht="36.75">
      <c r="A1167" s="3" t="s">
        <v>23</v>
      </c>
      <c r="B1167" s="3" t="s">
        <v>24</v>
      </c>
      <c r="C1167" s="3" t="s">
        <v>35</v>
      </c>
      <c r="D1167" s="3" t="s">
        <v>43</v>
      </c>
      <c r="E1167" s="3" t="s">
        <v>49</v>
      </c>
      <c r="F1167" s="3" t="s">
        <v>276</v>
      </c>
      <c r="G1167" s="3">
        <v>2016</v>
      </c>
      <c r="H1167" s="3" t="str">
        <f>CONCATENATE("64240400396")</f>
        <v>64240400396</v>
      </c>
      <c r="I1167" s="3" t="s">
        <v>25</v>
      </c>
      <c r="J1167" s="3" t="s">
        <v>26</v>
      </c>
      <c r="K1167" s="3" t="str">
        <f t="shared" si="40"/>
        <v/>
      </c>
      <c r="L1167" s="3" t="str">
        <f>CONCATENATE("11 11.2 4b")</f>
        <v>11 11.2 4b</v>
      </c>
      <c r="M1167" s="3" t="str">
        <f>CONCATENATE("02426080418")</f>
        <v>02426080418</v>
      </c>
      <c r="N1167" s="3" t="s">
        <v>1249</v>
      </c>
      <c r="O1167" s="3"/>
      <c r="P1167" s="4">
        <v>42783</v>
      </c>
      <c r="Q1167" s="3" t="s">
        <v>27</v>
      </c>
      <c r="R1167" s="3" t="s">
        <v>28</v>
      </c>
      <c r="S1167" s="3" t="s">
        <v>29</v>
      </c>
      <c r="T1167" s="3">
        <v>625.11</v>
      </c>
      <c r="U1167" s="3">
        <v>269.55</v>
      </c>
      <c r="V1167" s="3">
        <v>248.92</v>
      </c>
      <c r="W1167" s="3">
        <v>106.64</v>
      </c>
    </row>
    <row r="1168" spans="1:23" ht="60.75">
      <c r="A1168" s="3" t="s">
        <v>23</v>
      </c>
      <c r="B1168" s="3" t="s">
        <v>24</v>
      </c>
      <c r="C1168" s="3" t="s">
        <v>35</v>
      </c>
      <c r="D1168" s="3" t="s">
        <v>39</v>
      </c>
      <c r="E1168" s="3" t="s">
        <v>30</v>
      </c>
      <c r="F1168" s="3" t="s">
        <v>40</v>
      </c>
      <c r="G1168" s="3">
        <v>2016</v>
      </c>
      <c r="H1168" s="3" t="str">
        <f>CONCATENATE("64240529723")</f>
        <v>64240529723</v>
      </c>
      <c r="I1168" s="3" t="s">
        <v>25</v>
      </c>
      <c r="J1168" s="3" t="s">
        <v>26</v>
      </c>
      <c r="K1168" s="3" t="str">
        <f t="shared" si="40"/>
        <v/>
      </c>
      <c r="L1168" s="3" t="str">
        <f>CONCATENATE("11 11.2 4b")</f>
        <v>11 11.2 4b</v>
      </c>
      <c r="M1168" s="3" t="str">
        <f>CONCATENATE("GRGSLV67A68A561B")</f>
        <v>GRGSLV67A68A561B</v>
      </c>
      <c r="N1168" s="3" t="s">
        <v>1250</v>
      </c>
      <c r="O1168" s="3"/>
      <c r="P1168" s="4">
        <v>42783</v>
      </c>
      <c r="Q1168" s="3" t="s">
        <v>27</v>
      </c>
      <c r="R1168" s="3" t="s">
        <v>28</v>
      </c>
      <c r="S1168" s="3" t="s">
        <v>29</v>
      </c>
      <c r="T1168" s="5">
        <v>1580.17</v>
      </c>
      <c r="U1168" s="3">
        <v>681.37</v>
      </c>
      <c r="V1168" s="3">
        <v>629.22</v>
      </c>
      <c r="W1168" s="3">
        <v>269.58</v>
      </c>
    </row>
    <row r="1169" spans="1:23" ht="60.75">
      <c r="A1169" s="3" t="s">
        <v>23</v>
      </c>
      <c r="B1169" s="3" t="s">
        <v>24</v>
      </c>
      <c r="C1169" s="3" t="s">
        <v>35</v>
      </c>
      <c r="D1169" s="3" t="s">
        <v>48</v>
      </c>
      <c r="E1169" s="3" t="s">
        <v>30</v>
      </c>
      <c r="F1169" s="3" t="s">
        <v>157</v>
      </c>
      <c r="G1169" s="3">
        <v>2016</v>
      </c>
      <c r="H1169" s="3" t="str">
        <f>CONCATENATE("64240412805")</f>
        <v>64240412805</v>
      </c>
      <c r="I1169" s="3" t="s">
        <v>25</v>
      </c>
      <c r="J1169" s="3" t="s">
        <v>26</v>
      </c>
      <c r="K1169" s="3" t="str">
        <f t="shared" si="40"/>
        <v/>
      </c>
      <c r="L1169" s="3" t="str">
        <f>CONCATENATE("11 11.1 4b")</f>
        <v>11 11.1 4b</v>
      </c>
      <c r="M1169" s="3" t="str">
        <f>CONCATENATE("SFFMRK92E10E783A")</f>
        <v>SFFMRK92E10E783A</v>
      </c>
      <c r="N1169" s="3" t="s">
        <v>1251</v>
      </c>
      <c r="O1169" s="3"/>
      <c r="P1169" s="4">
        <v>42783</v>
      </c>
      <c r="Q1169" s="3" t="s">
        <v>27</v>
      </c>
      <c r="R1169" s="3" t="s">
        <v>28</v>
      </c>
      <c r="S1169" s="3" t="s">
        <v>29</v>
      </c>
      <c r="T1169" s="5">
        <v>1902.96</v>
      </c>
      <c r="U1169" s="3">
        <v>820.56</v>
      </c>
      <c r="V1169" s="3">
        <v>757.76</v>
      </c>
      <c r="W1169" s="3">
        <v>324.64</v>
      </c>
    </row>
    <row r="1170" spans="1:23" ht="60.75">
      <c r="A1170" s="3" t="s">
        <v>23</v>
      </c>
      <c r="B1170" s="3" t="s">
        <v>24</v>
      </c>
      <c r="C1170" s="3" t="s">
        <v>35</v>
      </c>
      <c r="D1170" s="3" t="s">
        <v>43</v>
      </c>
      <c r="E1170" s="3" t="s">
        <v>30</v>
      </c>
      <c r="F1170" s="3" t="s">
        <v>76</v>
      </c>
      <c r="G1170" s="3">
        <v>2016</v>
      </c>
      <c r="H1170" s="3" t="str">
        <f>CONCATENATE("64210122251")</f>
        <v>64210122251</v>
      </c>
      <c r="I1170" s="3" t="s">
        <v>25</v>
      </c>
      <c r="J1170" s="3" t="s">
        <v>26</v>
      </c>
      <c r="K1170" s="3" t="str">
        <f t="shared" si="40"/>
        <v/>
      </c>
      <c r="L1170" s="3" t="str">
        <f>CONCATENATE("13 13.1 4a")</f>
        <v>13 13.1 4a</v>
      </c>
      <c r="M1170" s="3" t="str">
        <f>CONCATENATE("BNZRLD64D02F478B")</f>
        <v>BNZRLD64D02F478B</v>
      </c>
      <c r="N1170" s="3" t="s">
        <v>1050</v>
      </c>
      <c r="O1170" s="3"/>
      <c r="P1170" s="4">
        <v>42783</v>
      </c>
      <c r="Q1170" s="3" t="s">
        <v>27</v>
      </c>
      <c r="R1170" s="3" t="s">
        <v>28</v>
      </c>
      <c r="S1170" s="3" t="s">
        <v>29</v>
      </c>
      <c r="T1170" s="5">
        <v>4181.8500000000004</v>
      </c>
      <c r="U1170" s="5">
        <v>1803.21</v>
      </c>
      <c r="V1170" s="5">
        <v>1665.21</v>
      </c>
      <c r="W1170" s="3">
        <v>713.43</v>
      </c>
    </row>
    <row r="1171" spans="1:23" ht="60.75">
      <c r="A1171" s="3" t="s">
        <v>23</v>
      </c>
      <c r="B1171" s="3" t="s">
        <v>24</v>
      </c>
      <c r="C1171" s="3" t="s">
        <v>35</v>
      </c>
      <c r="D1171" s="3" t="s">
        <v>43</v>
      </c>
      <c r="E1171" s="3" t="s">
        <v>30</v>
      </c>
      <c r="F1171" s="3" t="s">
        <v>76</v>
      </c>
      <c r="G1171" s="3">
        <v>2016</v>
      </c>
      <c r="H1171" s="3" t="str">
        <f>CONCATENATE("64210091357")</f>
        <v>64210091357</v>
      </c>
      <c r="I1171" s="3" t="s">
        <v>25</v>
      </c>
      <c r="J1171" s="3" t="s">
        <v>26</v>
      </c>
      <c r="K1171" s="3" t="str">
        <f t="shared" si="40"/>
        <v/>
      </c>
      <c r="L1171" s="3" t="str">
        <f>CONCATENATE("13 13.1 4a")</f>
        <v>13 13.1 4a</v>
      </c>
      <c r="M1171" s="3" t="str">
        <f>CONCATENATE("PSQNNZ43H64B816J")</f>
        <v>PSQNNZ43H64B816J</v>
      </c>
      <c r="N1171" s="3" t="s">
        <v>1252</v>
      </c>
      <c r="O1171" s="3"/>
      <c r="P1171" s="4">
        <v>42783</v>
      </c>
      <c r="Q1171" s="3" t="s">
        <v>27</v>
      </c>
      <c r="R1171" s="3" t="s">
        <v>28</v>
      </c>
      <c r="S1171" s="3" t="s">
        <v>29</v>
      </c>
      <c r="T1171" s="5">
        <v>3352.32</v>
      </c>
      <c r="U1171" s="5">
        <v>1445.52</v>
      </c>
      <c r="V1171" s="5">
        <v>1334.89</v>
      </c>
      <c r="W1171" s="3">
        <v>571.91</v>
      </c>
    </row>
    <row r="1172" spans="1:23" ht="60.75">
      <c r="A1172" s="3" t="s">
        <v>23</v>
      </c>
      <c r="B1172" s="3" t="s">
        <v>24</v>
      </c>
      <c r="C1172" s="3" t="s">
        <v>35</v>
      </c>
      <c r="D1172" s="3" t="s">
        <v>48</v>
      </c>
      <c r="E1172" s="3" t="s">
        <v>32</v>
      </c>
      <c r="F1172" s="3" t="s">
        <v>129</v>
      </c>
      <c r="G1172" s="3">
        <v>2016</v>
      </c>
      <c r="H1172" s="3" t="str">
        <f>CONCATENATE("64240259321")</f>
        <v>64240259321</v>
      </c>
      <c r="I1172" s="3" t="s">
        <v>25</v>
      </c>
      <c r="J1172" s="3" t="s">
        <v>26</v>
      </c>
      <c r="K1172" s="3" t="str">
        <f t="shared" si="40"/>
        <v/>
      </c>
      <c r="L1172" s="3" t="str">
        <f>CONCATENATE("11 11.1 4b")</f>
        <v>11 11.1 4b</v>
      </c>
      <c r="M1172" s="3" t="str">
        <f>CONCATENATE("BROGPP69P17E783D")</f>
        <v>BROGPP69P17E783D</v>
      </c>
      <c r="N1172" s="3" t="s">
        <v>1253</v>
      </c>
      <c r="O1172" s="3"/>
      <c r="P1172" s="4">
        <v>42783</v>
      </c>
      <c r="Q1172" s="3" t="s">
        <v>27</v>
      </c>
      <c r="R1172" s="3" t="s">
        <v>28</v>
      </c>
      <c r="S1172" s="3" t="s">
        <v>29</v>
      </c>
      <c r="T1172" s="5">
        <v>4701.29</v>
      </c>
      <c r="U1172" s="5">
        <v>2027.2</v>
      </c>
      <c r="V1172" s="5">
        <v>1872.05</v>
      </c>
      <c r="W1172" s="3">
        <v>802.04</v>
      </c>
    </row>
    <row r="1173" spans="1:23" ht="36.75">
      <c r="A1173" s="3" t="s">
        <v>23</v>
      </c>
      <c r="B1173" s="3" t="s">
        <v>24</v>
      </c>
      <c r="C1173" s="3" t="s">
        <v>35</v>
      </c>
      <c r="D1173" s="3" t="s">
        <v>36</v>
      </c>
      <c r="E1173" s="3" t="s">
        <v>30</v>
      </c>
      <c r="F1173" s="3" t="s">
        <v>37</v>
      </c>
      <c r="G1173" s="3">
        <v>2016</v>
      </c>
      <c r="H1173" s="3" t="str">
        <f>CONCATENATE("64240339701")</f>
        <v>64240339701</v>
      </c>
      <c r="I1173" s="3" t="s">
        <v>25</v>
      </c>
      <c r="J1173" s="3" t="s">
        <v>26</v>
      </c>
      <c r="K1173" s="3" t="str">
        <f t="shared" si="40"/>
        <v/>
      </c>
      <c r="L1173" s="3" t="str">
        <f>CONCATENATE("11 11.2 4b")</f>
        <v>11 11.2 4b</v>
      </c>
      <c r="M1173" s="3" t="str">
        <f>CONCATENATE("00708180443")</f>
        <v>00708180443</v>
      </c>
      <c r="N1173" s="3" t="s">
        <v>1254</v>
      </c>
      <c r="O1173" s="3"/>
      <c r="P1173" s="4">
        <v>42783</v>
      </c>
      <c r="Q1173" s="3" t="s">
        <v>27</v>
      </c>
      <c r="R1173" s="3" t="s">
        <v>28</v>
      </c>
      <c r="S1173" s="3" t="s">
        <v>29</v>
      </c>
      <c r="T1173" s="5">
        <v>8707.09</v>
      </c>
      <c r="U1173" s="5">
        <v>3754.5</v>
      </c>
      <c r="V1173" s="5">
        <v>3467.16</v>
      </c>
      <c r="W1173" s="5">
        <v>1485.43</v>
      </c>
    </row>
    <row r="1174" spans="1:23" ht="72.75">
      <c r="A1174" s="3" t="s">
        <v>23</v>
      </c>
      <c r="B1174" s="3" t="s">
        <v>24</v>
      </c>
      <c r="C1174" s="3" t="s">
        <v>35</v>
      </c>
      <c r="D1174" s="3" t="s">
        <v>48</v>
      </c>
      <c r="E1174" s="3" t="s">
        <v>30</v>
      </c>
      <c r="F1174" s="3" t="s">
        <v>289</v>
      </c>
      <c r="G1174" s="3">
        <v>2016</v>
      </c>
      <c r="H1174" s="3" t="str">
        <f>CONCATENATE("64240394904")</f>
        <v>64240394904</v>
      </c>
      <c r="I1174" s="3" t="s">
        <v>31</v>
      </c>
      <c r="J1174" s="3" t="s">
        <v>26</v>
      </c>
      <c r="K1174" s="3" t="str">
        <f t="shared" si="40"/>
        <v/>
      </c>
      <c r="L1174" s="3" t="str">
        <f>CONCATENATE("11 11.2 4b")</f>
        <v>11 11.2 4b</v>
      </c>
      <c r="M1174" s="3" t="str">
        <f>CONCATENATE("BRRGPP56A25G147H")</f>
        <v>BRRGPP56A25G147H</v>
      </c>
      <c r="N1174" s="3" t="s">
        <v>1255</v>
      </c>
      <c r="O1174" s="3"/>
      <c r="P1174" s="4">
        <v>42783</v>
      </c>
      <c r="Q1174" s="3" t="s">
        <v>27</v>
      </c>
      <c r="R1174" s="3" t="s">
        <v>28</v>
      </c>
      <c r="S1174" s="3" t="s">
        <v>29</v>
      </c>
      <c r="T1174" s="5">
        <v>8404.5</v>
      </c>
      <c r="U1174" s="5">
        <v>3624.02</v>
      </c>
      <c r="V1174" s="5">
        <v>3346.67</v>
      </c>
      <c r="W1174" s="5">
        <v>1433.81</v>
      </c>
    </row>
    <row r="1175" spans="1:23" ht="60.75">
      <c r="A1175" s="3" t="s">
        <v>23</v>
      </c>
      <c r="B1175" s="3" t="s">
        <v>24</v>
      </c>
      <c r="C1175" s="3" t="s">
        <v>35</v>
      </c>
      <c r="D1175" s="3" t="s">
        <v>36</v>
      </c>
      <c r="E1175" s="3" t="s">
        <v>30</v>
      </c>
      <c r="F1175" s="3" t="s">
        <v>37</v>
      </c>
      <c r="G1175" s="3">
        <v>2016</v>
      </c>
      <c r="H1175" s="3" t="str">
        <f>CONCATENATE("64240183919")</f>
        <v>64240183919</v>
      </c>
      <c r="I1175" s="3" t="s">
        <v>25</v>
      </c>
      <c r="J1175" s="3" t="s">
        <v>26</v>
      </c>
      <c r="K1175" s="3" t="str">
        <f t="shared" si="40"/>
        <v/>
      </c>
      <c r="L1175" s="3" t="str">
        <f>CONCATENATE("10 10.1 4a")</f>
        <v>10 10.1 4a</v>
      </c>
      <c r="M1175" s="3" t="str">
        <f>CONCATENATE("TRNGZL54T48H588K")</f>
        <v>TRNGZL54T48H588K</v>
      </c>
      <c r="N1175" s="3" t="s">
        <v>884</v>
      </c>
      <c r="O1175" s="3"/>
      <c r="P1175" s="4">
        <v>42783</v>
      </c>
      <c r="Q1175" s="3" t="s">
        <v>27</v>
      </c>
      <c r="R1175" s="3" t="s">
        <v>28</v>
      </c>
      <c r="S1175" s="3" t="s">
        <v>29</v>
      </c>
      <c r="T1175" s="3">
        <v>400.68</v>
      </c>
      <c r="U1175" s="3">
        <v>172.77</v>
      </c>
      <c r="V1175" s="3">
        <v>159.55000000000001</v>
      </c>
      <c r="W1175" s="3">
        <v>68.36</v>
      </c>
    </row>
    <row r="1176" spans="1:23" ht="60.75">
      <c r="A1176" s="3" t="s">
        <v>23</v>
      </c>
      <c r="B1176" s="3" t="s">
        <v>24</v>
      </c>
      <c r="C1176" s="3" t="s">
        <v>35</v>
      </c>
      <c r="D1176" s="3" t="s">
        <v>43</v>
      </c>
      <c r="E1176" s="3" t="s">
        <v>30</v>
      </c>
      <c r="F1176" s="3" t="s">
        <v>124</v>
      </c>
      <c r="G1176" s="3">
        <v>2016</v>
      </c>
      <c r="H1176" s="3" t="str">
        <f>CONCATENATE("64210584138")</f>
        <v>64210584138</v>
      </c>
      <c r="I1176" s="3" t="s">
        <v>25</v>
      </c>
      <c r="J1176" s="3" t="s">
        <v>26</v>
      </c>
      <c r="K1176" s="3" t="str">
        <f t="shared" si="40"/>
        <v/>
      </c>
      <c r="L1176" s="3" t="str">
        <f>CONCATENATE("13 13.1 4a")</f>
        <v>13 13.1 4a</v>
      </c>
      <c r="M1176" s="3" t="str">
        <f>CONCATENATE("MZZGRG74M13L498Z")</f>
        <v>MZZGRG74M13L498Z</v>
      </c>
      <c r="N1176" s="3" t="s">
        <v>390</v>
      </c>
      <c r="O1176" s="3"/>
      <c r="P1176" s="4">
        <v>42783</v>
      </c>
      <c r="Q1176" s="3" t="s">
        <v>27</v>
      </c>
      <c r="R1176" s="3" t="s">
        <v>28</v>
      </c>
      <c r="S1176" s="3" t="s">
        <v>29</v>
      </c>
      <c r="T1176" s="5">
        <v>1724.99</v>
      </c>
      <c r="U1176" s="3">
        <v>743.82</v>
      </c>
      <c r="V1176" s="3">
        <v>686.89</v>
      </c>
      <c r="W1176" s="3">
        <v>294.27999999999997</v>
      </c>
    </row>
    <row r="1177" spans="1:23" ht="60.75">
      <c r="A1177" s="3" t="s">
        <v>23</v>
      </c>
      <c r="B1177" s="3" t="s">
        <v>24</v>
      </c>
      <c r="C1177" s="3" t="s">
        <v>35</v>
      </c>
      <c r="D1177" s="3" t="s">
        <v>43</v>
      </c>
      <c r="E1177" s="3" t="s">
        <v>30</v>
      </c>
      <c r="F1177" s="3" t="s">
        <v>76</v>
      </c>
      <c r="G1177" s="3">
        <v>2016</v>
      </c>
      <c r="H1177" s="3" t="str">
        <f>CONCATENATE("64210088189")</f>
        <v>64210088189</v>
      </c>
      <c r="I1177" s="3" t="s">
        <v>25</v>
      </c>
      <c r="J1177" s="3" t="s">
        <v>26</v>
      </c>
      <c r="K1177" s="3" t="str">
        <f t="shared" si="40"/>
        <v/>
      </c>
      <c r="L1177" s="3" t="str">
        <f>CONCATENATE("13 13.1 4a")</f>
        <v>13 13.1 4a</v>
      </c>
      <c r="M1177" s="3" t="str">
        <f>CONCATENATE("MTTMRA57T19F524A")</f>
        <v>MTTMRA57T19F524A</v>
      </c>
      <c r="N1177" s="3" t="s">
        <v>1256</v>
      </c>
      <c r="O1177" s="3"/>
      <c r="P1177" s="4">
        <v>42783</v>
      </c>
      <c r="Q1177" s="3" t="s">
        <v>27</v>
      </c>
      <c r="R1177" s="3" t="s">
        <v>28</v>
      </c>
      <c r="S1177" s="3" t="s">
        <v>29</v>
      </c>
      <c r="T1177" s="5">
        <v>4590</v>
      </c>
      <c r="U1177" s="5">
        <v>1979.21</v>
      </c>
      <c r="V1177" s="5">
        <v>1827.74</v>
      </c>
      <c r="W1177" s="3">
        <v>783.05</v>
      </c>
    </row>
    <row r="1178" spans="1:23" ht="60.75">
      <c r="A1178" s="3" t="s">
        <v>23</v>
      </c>
      <c r="B1178" s="3" t="s">
        <v>24</v>
      </c>
      <c r="C1178" s="3" t="s">
        <v>35</v>
      </c>
      <c r="D1178" s="3" t="s">
        <v>48</v>
      </c>
      <c r="E1178" s="3" t="s">
        <v>30</v>
      </c>
      <c r="F1178" s="3" t="s">
        <v>57</v>
      </c>
      <c r="G1178" s="3">
        <v>2016</v>
      </c>
      <c r="H1178" s="3" t="str">
        <f>CONCATENATE("64240515581")</f>
        <v>64240515581</v>
      </c>
      <c r="I1178" s="3" t="s">
        <v>25</v>
      </c>
      <c r="J1178" s="3" t="s">
        <v>26</v>
      </c>
      <c r="K1178" s="3" t="str">
        <f t="shared" si="40"/>
        <v/>
      </c>
      <c r="L1178" s="3" t="str">
        <f>CONCATENATE("11 11.2 4b")</f>
        <v>11 11.2 4b</v>
      </c>
      <c r="M1178" s="3" t="str">
        <f>CONCATENATE("SLVFLL54D63L191G")</f>
        <v>SLVFLL54D63L191G</v>
      </c>
      <c r="N1178" s="3" t="s">
        <v>1257</v>
      </c>
      <c r="O1178" s="3"/>
      <c r="P1178" s="4">
        <v>42783</v>
      </c>
      <c r="Q1178" s="3" t="s">
        <v>27</v>
      </c>
      <c r="R1178" s="3" t="s">
        <v>28</v>
      </c>
      <c r="S1178" s="3" t="s">
        <v>29</v>
      </c>
      <c r="T1178" s="5">
        <v>7244.8</v>
      </c>
      <c r="U1178" s="5">
        <v>3123.96</v>
      </c>
      <c r="V1178" s="5">
        <v>2884.88</v>
      </c>
      <c r="W1178" s="5">
        <v>1235.96</v>
      </c>
    </row>
    <row r="1179" spans="1:23" ht="60.75">
      <c r="A1179" s="3" t="s">
        <v>23</v>
      </c>
      <c r="B1179" s="3" t="s">
        <v>24</v>
      </c>
      <c r="C1179" s="3" t="s">
        <v>35</v>
      </c>
      <c r="D1179" s="3" t="s">
        <v>36</v>
      </c>
      <c r="E1179" s="3" t="s">
        <v>30</v>
      </c>
      <c r="F1179" s="3" t="s">
        <v>67</v>
      </c>
      <c r="G1179" s="3">
        <v>2016</v>
      </c>
      <c r="H1179" s="3" t="str">
        <f>CONCATENATE("64240524971")</f>
        <v>64240524971</v>
      </c>
      <c r="I1179" s="3" t="s">
        <v>25</v>
      </c>
      <c r="J1179" s="3" t="s">
        <v>26</v>
      </c>
      <c r="K1179" s="3" t="str">
        <f t="shared" si="40"/>
        <v/>
      </c>
      <c r="L1179" s="3" t="str">
        <f>CONCATENATE("11 11.1 4b")</f>
        <v>11 11.1 4b</v>
      </c>
      <c r="M1179" s="3" t="str">
        <f>CONCATENATE("MRSSFN63E07D542E")</f>
        <v>MRSSFN63E07D542E</v>
      </c>
      <c r="N1179" s="3" t="s">
        <v>1258</v>
      </c>
      <c r="O1179" s="3"/>
      <c r="P1179" s="4">
        <v>42783</v>
      </c>
      <c r="Q1179" s="3" t="s">
        <v>27</v>
      </c>
      <c r="R1179" s="3" t="s">
        <v>28</v>
      </c>
      <c r="S1179" s="3" t="s">
        <v>29</v>
      </c>
      <c r="T1179" s="5">
        <v>4326.3500000000004</v>
      </c>
      <c r="U1179" s="5">
        <v>1865.52</v>
      </c>
      <c r="V1179" s="5">
        <v>1722.75</v>
      </c>
      <c r="W1179" s="3">
        <v>738.08</v>
      </c>
    </row>
    <row r="1180" spans="1:23" ht="60.75">
      <c r="A1180" s="3" t="s">
        <v>23</v>
      </c>
      <c r="B1180" s="3" t="s">
        <v>24</v>
      </c>
      <c r="C1180" s="3" t="s">
        <v>35</v>
      </c>
      <c r="D1180" s="3" t="s">
        <v>36</v>
      </c>
      <c r="E1180" s="3" t="s">
        <v>30</v>
      </c>
      <c r="F1180" s="3" t="s">
        <v>37</v>
      </c>
      <c r="G1180" s="3">
        <v>2016</v>
      </c>
      <c r="H1180" s="3" t="str">
        <f>CONCATENATE("64240248381")</f>
        <v>64240248381</v>
      </c>
      <c r="I1180" s="3" t="s">
        <v>25</v>
      </c>
      <c r="J1180" s="3" t="s">
        <v>26</v>
      </c>
      <c r="K1180" s="3" t="str">
        <f t="shared" si="40"/>
        <v/>
      </c>
      <c r="L1180" s="3" t="str">
        <f>CONCATENATE("11 11.2 4b")</f>
        <v>11 11.2 4b</v>
      </c>
      <c r="M1180" s="3" t="str">
        <f>CONCATENATE("PRPLRA50H42F501V")</f>
        <v>PRPLRA50H42F501V</v>
      </c>
      <c r="N1180" s="3" t="s">
        <v>1259</v>
      </c>
      <c r="O1180" s="3"/>
      <c r="P1180" s="4">
        <v>42783</v>
      </c>
      <c r="Q1180" s="3" t="s">
        <v>27</v>
      </c>
      <c r="R1180" s="3" t="s">
        <v>28</v>
      </c>
      <c r="S1180" s="3" t="s">
        <v>29</v>
      </c>
      <c r="T1180" s="5">
        <v>2171.46</v>
      </c>
      <c r="U1180" s="3">
        <v>936.33</v>
      </c>
      <c r="V1180" s="3">
        <v>864.68</v>
      </c>
      <c r="W1180" s="3">
        <v>370.45</v>
      </c>
    </row>
    <row r="1181" spans="1:23" ht="60.75">
      <c r="A1181" s="3" t="s">
        <v>23</v>
      </c>
      <c r="B1181" s="3" t="s">
        <v>24</v>
      </c>
      <c r="C1181" s="3" t="s">
        <v>35</v>
      </c>
      <c r="D1181" s="3" t="s">
        <v>48</v>
      </c>
      <c r="E1181" s="3" t="s">
        <v>30</v>
      </c>
      <c r="F1181" s="3" t="s">
        <v>55</v>
      </c>
      <c r="G1181" s="3">
        <v>2016</v>
      </c>
      <c r="H1181" s="3" t="str">
        <f>CONCATENATE("64240692562")</f>
        <v>64240692562</v>
      </c>
      <c r="I1181" s="3" t="s">
        <v>25</v>
      </c>
      <c r="J1181" s="3" t="s">
        <v>26</v>
      </c>
      <c r="K1181" s="3" t="str">
        <f t="shared" si="40"/>
        <v/>
      </c>
      <c r="L1181" s="3" t="str">
        <f>CONCATENATE("11 11.1 4b")</f>
        <v>11 11.1 4b</v>
      </c>
      <c r="M1181" s="3" t="str">
        <f>CONCATENATE("VRDDVD42D16D042T")</f>
        <v>VRDDVD42D16D042T</v>
      </c>
      <c r="N1181" s="3" t="s">
        <v>1261</v>
      </c>
      <c r="O1181" s="3"/>
      <c r="P1181" s="4">
        <v>42783</v>
      </c>
      <c r="Q1181" s="3" t="s">
        <v>27</v>
      </c>
      <c r="R1181" s="3" t="s">
        <v>28</v>
      </c>
      <c r="S1181" s="3" t="s">
        <v>29</v>
      </c>
      <c r="T1181" s="5">
        <v>5175.92</v>
      </c>
      <c r="U1181" s="5">
        <v>2231.86</v>
      </c>
      <c r="V1181" s="5">
        <v>2061.0500000000002</v>
      </c>
      <c r="W1181" s="3">
        <v>883.01</v>
      </c>
    </row>
    <row r="1182" spans="1:23" ht="36.75">
      <c r="A1182" s="3" t="s">
        <v>23</v>
      </c>
      <c r="B1182" s="3" t="s">
        <v>24</v>
      </c>
      <c r="C1182" s="3" t="s">
        <v>35</v>
      </c>
      <c r="D1182" s="3" t="s">
        <v>36</v>
      </c>
      <c r="E1182" s="3" t="s">
        <v>30</v>
      </c>
      <c r="F1182" s="3" t="s">
        <v>67</v>
      </c>
      <c r="G1182" s="3">
        <v>2016</v>
      </c>
      <c r="H1182" s="3" t="str">
        <f>CONCATENATE("64240691887")</f>
        <v>64240691887</v>
      </c>
      <c r="I1182" s="3" t="s">
        <v>25</v>
      </c>
      <c r="J1182" s="3" t="s">
        <v>26</v>
      </c>
      <c r="K1182" s="3" t="str">
        <f t="shared" si="40"/>
        <v/>
      </c>
      <c r="L1182" s="3" t="str">
        <f>CONCATENATE("11 11.1 4b")</f>
        <v>11 11.1 4b</v>
      </c>
      <c r="M1182" s="3" t="str">
        <f>CONCATENATE("02271300440")</f>
        <v>02271300440</v>
      </c>
      <c r="N1182" s="3" t="s">
        <v>1262</v>
      </c>
      <c r="O1182" s="3"/>
      <c r="P1182" s="4">
        <v>42783</v>
      </c>
      <c r="Q1182" s="3" t="s">
        <v>27</v>
      </c>
      <c r="R1182" s="3" t="s">
        <v>28</v>
      </c>
      <c r="S1182" s="3" t="s">
        <v>29</v>
      </c>
      <c r="T1182" s="5">
        <v>9472.27</v>
      </c>
      <c r="U1182" s="5">
        <v>4084.44</v>
      </c>
      <c r="V1182" s="5">
        <v>3771.86</v>
      </c>
      <c r="W1182" s="5">
        <v>1615.97</v>
      </c>
    </row>
    <row r="1183" spans="1:23" ht="60.75">
      <c r="A1183" s="3" t="s">
        <v>23</v>
      </c>
      <c r="B1183" s="3" t="s">
        <v>24</v>
      </c>
      <c r="C1183" s="3" t="s">
        <v>35</v>
      </c>
      <c r="D1183" s="3" t="s">
        <v>48</v>
      </c>
      <c r="E1183" s="3" t="s">
        <v>49</v>
      </c>
      <c r="F1183" s="3" t="s">
        <v>80</v>
      </c>
      <c r="G1183" s="3">
        <v>2016</v>
      </c>
      <c r="H1183" s="3" t="str">
        <f>CONCATENATE("64210650939")</f>
        <v>64210650939</v>
      </c>
      <c r="I1183" s="3" t="s">
        <v>25</v>
      </c>
      <c r="J1183" s="3" t="s">
        <v>26</v>
      </c>
      <c r="K1183" s="3" t="str">
        <f t="shared" si="40"/>
        <v/>
      </c>
      <c r="L1183" s="3" t="str">
        <f>CONCATENATE("13 13.1 4a")</f>
        <v>13 13.1 4a</v>
      </c>
      <c r="M1183" s="3" t="str">
        <f>CONCATENATE("BTSGTN46M28C267S")</f>
        <v>BTSGTN46M28C267S</v>
      </c>
      <c r="N1183" s="3" t="s">
        <v>1263</v>
      </c>
      <c r="O1183" s="3"/>
      <c r="P1183" s="4">
        <v>42783</v>
      </c>
      <c r="Q1183" s="3" t="s">
        <v>27</v>
      </c>
      <c r="R1183" s="3" t="s">
        <v>28</v>
      </c>
      <c r="S1183" s="3" t="s">
        <v>29</v>
      </c>
      <c r="T1183" s="5">
        <v>3060</v>
      </c>
      <c r="U1183" s="5">
        <v>1319.47</v>
      </c>
      <c r="V1183" s="5">
        <v>1218.49</v>
      </c>
      <c r="W1183" s="3">
        <v>522.04</v>
      </c>
    </row>
    <row r="1184" spans="1:23" ht="60.75">
      <c r="A1184" s="3" t="s">
        <v>23</v>
      </c>
      <c r="B1184" s="3" t="s">
        <v>24</v>
      </c>
      <c r="C1184" s="3" t="s">
        <v>35</v>
      </c>
      <c r="D1184" s="3" t="s">
        <v>43</v>
      </c>
      <c r="E1184" s="3" t="s">
        <v>30</v>
      </c>
      <c r="F1184" s="3" t="s">
        <v>124</v>
      </c>
      <c r="G1184" s="3">
        <v>2016</v>
      </c>
      <c r="H1184" s="3" t="str">
        <f>CONCATENATE("64210875874")</f>
        <v>64210875874</v>
      </c>
      <c r="I1184" s="3" t="s">
        <v>25</v>
      </c>
      <c r="J1184" s="3" t="s">
        <v>26</v>
      </c>
      <c r="K1184" s="3" t="str">
        <f t="shared" si="40"/>
        <v/>
      </c>
      <c r="L1184" s="3" t="str">
        <f>CONCATENATE("13 13.1 4a")</f>
        <v>13 13.1 4a</v>
      </c>
      <c r="M1184" s="3" t="str">
        <f>CONCATENATE("CRBSRG59L25C742T")</f>
        <v>CRBSRG59L25C742T</v>
      </c>
      <c r="N1184" s="3" t="s">
        <v>1264</v>
      </c>
      <c r="O1184" s="3"/>
      <c r="P1184" s="4">
        <v>42783</v>
      </c>
      <c r="Q1184" s="3" t="s">
        <v>27</v>
      </c>
      <c r="R1184" s="3" t="s">
        <v>28</v>
      </c>
      <c r="S1184" s="3" t="s">
        <v>29</v>
      </c>
      <c r="T1184" s="3">
        <v>606.63</v>
      </c>
      <c r="U1184" s="3">
        <v>261.58</v>
      </c>
      <c r="V1184" s="3">
        <v>241.56</v>
      </c>
      <c r="W1184" s="3">
        <v>103.49</v>
      </c>
    </row>
    <row r="1185" spans="1:23" ht="60.75">
      <c r="A1185" s="3" t="s">
        <v>23</v>
      </c>
      <c r="B1185" s="3" t="s">
        <v>24</v>
      </c>
      <c r="C1185" s="3" t="s">
        <v>35</v>
      </c>
      <c r="D1185" s="3" t="s">
        <v>48</v>
      </c>
      <c r="E1185" s="3" t="s">
        <v>49</v>
      </c>
      <c r="F1185" s="3" t="s">
        <v>50</v>
      </c>
      <c r="G1185" s="3">
        <v>2016</v>
      </c>
      <c r="H1185" s="3" t="str">
        <f>CONCATENATE("64240640488")</f>
        <v>64240640488</v>
      </c>
      <c r="I1185" s="3" t="s">
        <v>25</v>
      </c>
      <c r="J1185" s="3" t="s">
        <v>26</v>
      </c>
      <c r="K1185" s="3" t="str">
        <f t="shared" si="40"/>
        <v/>
      </c>
      <c r="L1185" s="3" t="str">
        <f>CONCATENATE("11 11.2 4b")</f>
        <v>11 11.2 4b</v>
      </c>
      <c r="M1185" s="3" t="str">
        <f>CONCATENATE("PSSGNN61H64E690T")</f>
        <v>PSSGNN61H64E690T</v>
      </c>
      <c r="N1185" s="3" t="s">
        <v>1265</v>
      </c>
      <c r="O1185" s="3"/>
      <c r="P1185" s="4">
        <v>42783</v>
      </c>
      <c r="Q1185" s="3" t="s">
        <v>27</v>
      </c>
      <c r="R1185" s="3" t="s">
        <v>28</v>
      </c>
      <c r="S1185" s="3" t="s">
        <v>29</v>
      </c>
      <c r="T1185" s="5">
        <v>1864.07</v>
      </c>
      <c r="U1185" s="3">
        <v>803.79</v>
      </c>
      <c r="V1185" s="3">
        <v>742.27</v>
      </c>
      <c r="W1185" s="3">
        <v>318.01</v>
      </c>
    </row>
    <row r="1186" spans="1:23" ht="36.75">
      <c r="A1186" s="3" t="s">
        <v>23</v>
      </c>
      <c r="B1186" s="3" t="s">
        <v>24</v>
      </c>
      <c r="C1186" s="3" t="s">
        <v>35</v>
      </c>
      <c r="D1186" s="3" t="s">
        <v>36</v>
      </c>
      <c r="E1186" s="3" t="s">
        <v>33</v>
      </c>
      <c r="F1186" s="3" t="s">
        <v>192</v>
      </c>
      <c r="G1186" s="3">
        <v>2016</v>
      </c>
      <c r="H1186" s="3" t="str">
        <f>CONCATENATE("64240321543")</f>
        <v>64240321543</v>
      </c>
      <c r="I1186" s="3" t="s">
        <v>25</v>
      </c>
      <c r="J1186" s="3" t="s">
        <v>26</v>
      </c>
      <c r="K1186" s="3" t="str">
        <f t="shared" si="40"/>
        <v/>
      </c>
      <c r="L1186" s="3" t="str">
        <f>CONCATENATE("11 11.2 4b")</f>
        <v>11 11.2 4b</v>
      </c>
      <c r="M1186" s="3" t="str">
        <f>CONCATENATE("01556110441")</f>
        <v>01556110441</v>
      </c>
      <c r="N1186" s="3" t="s">
        <v>1266</v>
      </c>
      <c r="O1186" s="3"/>
      <c r="P1186" s="4">
        <v>42783</v>
      </c>
      <c r="Q1186" s="3" t="s">
        <v>27</v>
      </c>
      <c r="R1186" s="3" t="s">
        <v>28</v>
      </c>
      <c r="S1186" s="3" t="s">
        <v>29</v>
      </c>
      <c r="T1186" s="5">
        <v>5835.05</v>
      </c>
      <c r="U1186" s="5">
        <v>2516.0700000000002</v>
      </c>
      <c r="V1186" s="5">
        <v>2323.52</v>
      </c>
      <c r="W1186" s="3">
        <v>995.46</v>
      </c>
    </row>
    <row r="1187" spans="1:23" ht="36.75">
      <c r="A1187" s="3" t="s">
        <v>23</v>
      </c>
      <c r="B1187" s="3" t="s">
        <v>24</v>
      </c>
      <c r="C1187" s="3" t="s">
        <v>35</v>
      </c>
      <c r="D1187" s="3" t="s">
        <v>43</v>
      </c>
      <c r="E1187" s="3" t="s">
        <v>30</v>
      </c>
      <c r="F1187" s="3" t="s">
        <v>113</v>
      </c>
      <c r="G1187" s="3">
        <v>2016</v>
      </c>
      <c r="H1187" s="3" t="str">
        <f>CONCATENATE("64210587537")</f>
        <v>64210587537</v>
      </c>
      <c r="I1187" s="3" t="s">
        <v>25</v>
      </c>
      <c r="J1187" s="3" t="s">
        <v>26</v>
      </c>
      <c r="K1187" s="3" t="str">
        <f t="shared" si="40"/>
        <v/>
      </c>
      <c r="L1187" s="3" t="str">
        <f>CONCATENATE("13 13.1 4a")</f>
        <v>13 13.1 4a</v>
      </c>
      <c r="M1187" s="3" t="str">
        <f>CONCATENATE("02440980411")</f>
        <v>02440980411</v>
      </c>
      <c r="N1187" s="3" t="s">
        <v>493</v>
      </c>
      <c r="O1187" s="3"/>
      <c r="P1187" s="4">
        <v>42783</v>
      </c>
      <c r="Q1187" s="3" t="s">
        <v>27</v>
      </c>
      <c r="R1187" s="3" t="s">
        <v>28</v>
      </c>
      <c r="S1187" s="3" t="s">
        <v>29</v>
      </c>
      <c r="T1187" s="5">
        <v>2253.44</v>
      </c>
      <c r="U1187" s="3">
        <v>971.68</v>
      </c>
      <c r="V1187" s="3">
        <v>897.32</v>
      </c>
      <c r="W1187" s="3">
        <v>384.44</v>
      </c>
    </row>
    <row r="1188" spans="1:23" ht="36.75">
      <c r="A1188" s="3" t="s">
        <v>23</v>
      </c>
      <c r="B1188" s="3" t="s">
        <v>24</v>
      </c>
      <c r="C1188" s="3" t="s">
        <v>35</v>
      </c>
      <c r="D1188" s="3" t="s">
        <v>48</v>
      </c>
      <c r="E1188" s="3" t="s">
        <v>49</v>
      </c>
      <c r="F1188" s="3" t="s">
        <v>50</v>
      </c>
      <c r="G1188" s="3">
        <v>2016</v>
      </c>
      <c r="H1188" s="3" t="str">
        <f>CONCATENATE("64240257218")</f>
        <v>64240257218</v>
      </c>
      <c r="I1188" s="3" t="s">
        <v>31</v>
      </c>
      <c r="J1188" s="3" t="s">
        <v>26</v>
      </c>
      <c r="K1188" s="3" t="str">
        <f t="shared" si="40"/>
        <v/>
      </c>
      <c r="L1188" s="3" t="str">
        <f>CONCATENATE("11 11.2 4b")</f>
        <v>11 11.2 4b</v>
      </c>
      <c r="M1188" s="3" t="str">
        <f>CONCATENATE("01493390437")</f>
        <v>01493390437</v>
      </c>
      <c r="N1188" s="3" t="s">
        <v>1267</v>
      </c>
      <c r="O1188" s="3"/>
      <c r="P1188" s="4">
        <v>42783</v>
      </c>
      <c r="Q1188" s="3" t="s">
        <v>27</v>
      </c>
      <c r="R1188" s="3" t="s">
        <v>28</v>
      </c>
      <c r="S1188" s="3" t="s">
        <v>29</v>
      </c>
      <c r="T1188" s="5">
        <v>5297.3</v>
      </c>
      <c r="U1188" s="5">
        <v>2284.1999999999998</v>
      </c>
      <c r="V1188" s="5">
        <v>2109.38</v>
      </c>
      <c r="W1188" s="3">
        <v>903.72</v>
      </c>
    </row>
    <row r="1189" spans="1:23" ht="60.75">
      <c r="A1189" s="3" t="s">
        <v>23</v>
      </c>
      <c r="B1189" s="3" t="s">
        <v>24</v>
      </c>
      <c r="C1189" s="3" t="s">
        <v>35</v>
      </c>
      <c r="D1189" s="3" t="s">
        <v>48</v>
      </c>
      <c r="E1189" s="3" t="s">
        <v>33</v>
      </c>
      <c r="F1189" s="3" t="s">
        <v>160</v>
      </c>
      <c r="G1189" s="3">
        <v>2016</v>
      </c>
      <c r="H1189" s="3" t="str">
        <f>CONCATENATE("64240471835")</f>
        <v>64240471835</v>
      </c>
      <c r="I1189" s="3" t="s">
        <v>25</v>
      </c>
      <c r="J1189" s="3" t="s">
        <v>26</v>
      </c>
      <c r="K1189" s="3" t="str">
        <f t="shared" si="40"/>
        <v/>
      </c>
      <c r="L1189" s="3" t="str">
        <f>CONCATENATE("11 11.2 4b")</f>
        <v>11 11.2 4b</v>
      </c>
      <c r="M1189" s="3" t="str">
        <f>CONCATENATE("CCCDVD90A18B474S")</f>
        <v>CCCDVD90A18B474S</v>
      </c>
      <c r="N1189" s="3" t="s">
        <v>1268</v>
      </c>
      <c r="O1189" s="3"/>
      <c r="P1189" s="4">
        <v>42783</v>
      </c>
      <c r="Q1189" s="3" t="s">
        <v>27</v>
      </c>
      <c r="R1189" s="3" t="s">
        <v>28</v>
      </c>
      <c r="S1189" s="3" t="s">
        <v>29</v>
      </c>
      <c r="T1189" s="5">
        <v>4024.71</v>
      </c>
      <c r="U1189" s="5">
        <v>1735.45</v>
      </c>
      <c r="V1189" s="5">
        <v>1602.64</v>
      </c>
      <c r="W1189" s="3">
        <v>686.62</v>
      </c>
    </row>
    <row r="1190" spans="1:23" ht="36.75">
      <c r="A1190" s="3" t="s">
        <v>23</v>
      </c>
      <c r="B1190" s="3" t="s">
        <v>24</v>
      </c>
      <c r="C1190" s="3" t="s">
        <v>35</v>
      </c>
      <c r="D1190" s="3" t="s">
        <v>39</v>
      </c>
      <c r="E1190" s="3" t="s">
        <v>32</v>
      </c>
      <c r="F1190" s="3" t="s">
        <v>1269</v>
      </c>
      <c r="G1190" s="3">
        <v>2016</v>
      </c>
      <c r="H1190" s="3" t="str">
        <f>CONCATENATE("64240568770")</f>
        <v>64240568770</v>
      </c>
      <c r="I1190" s="3" t="s">
        <v>25</v>
      </c>
      <c r="J1190" s="3" t="s">
        <v>26</v>
      </c>
      <c r="K1190" s="3" t="str">
        <f t="shared" si="40"/>
        <v/>
      </c>
      <c r="L1190" s="3" t="str">
        <f>CONCATENATE("11 11.2 4b")</f>
        <v>11 11.2 4b</v>
      </c>
      <c r="M1190" s="3" t="str">
        <f>CONCATENATE("01197530429")</f>
        <v>01197530429</v>
      </c>
      <c r="N1190" s="3" t="s">
        <v>1270</v>
      </c>
      <c r="O1190" s="3"/>
      <c r="P1190" s="4">
        <v>42783</v>
      </c>
      <c r="Q1190" s="3" t="s">
        <v>27</v>
      </c>
      <c r="R1190" s="3" t="s">
        <v>28</v>
      </c>
      <c r="S1190" s="3" t="s">
        <v>29</v>
      </c>
      <c r="T1190" s="5">
        <v>4079.79</v>
      </c>
      <c r="U1190" s="5">
        <v>1759.21</v>
      </c>
      <c r="V1190" s="5">
        <v>1624.57</v>
      </c>
      <c r="W1190" s="3">
        <v>696.01</v>
      </c>
    </row>
    <row r="1191" spans="1:23" ht="72.75">
      <c r="A1191" s="3" t="s">
        <v>23</v>
      </c>
      <c r="B1191" s="3" t="s">
        <v>24</v>
      </c>
      <c r="C1191" s="3" t="s">
        <v>35</v>
      </c>
      <c r="D1191" s="3" t="s">
        <v>36</v>
      </c>
      <c r="E1191" s="3" t="s">
        <v>42</v>
      </c>
      <c r="F1191" s="3" t="s">
        <v>42</v>
      </c>
      <c r="G1191" s="3">
        <v>2016</v>
      </c>
      <c r="H1191" s="3" t="str">
        <f>CONCATENATE("64240053054")</f>
        <v>64240053054</v>
      </c>
      <c r="I1191" s="3" t="s">
        <v>25</v>
      </c>
      <c r="J1191" s="3" t="s">
        <v>26</v>
      </c>
      <c r="K1191" s="3" t="str">
        <f t="shared" si="40"/>
        <v/>
      </c>
      <c r="L1191" s="3" t="str">
        <f>CONCATENATE("11 11.2 4b")</f>
        <v>11 11.2 4b</v>
      </c>
      <c r="M1191" s="3" t="str">
        <f>CONCATENATE("VGNLGU52A26H321B")</f>
        <v>VGNLGU52A26H321B</v>
      </c>
      <c r="N1191" s="3" t="s">
        <v>1271</v>
      </c>
      <c r="O1191" s="3"/>
      <c r="P1191" s="4">
        <v>42783</v>
      </c>
      <c r="Q1191" s="3" t="s">
        <v>27</v>
      </c>
      <c r="R1191" s="3" t="s">
        <v>28</v>
      </c>
      <c r="S1191" s="3" t="s">
        <v>29</v>
      </c>
      <c r="T1191" s="5">
        <v>3826.95</v>
      </c>
      <c r="U1191" s="5">
        <v>1650.18</v>
      </c>
      <c r="V1191" s="5">
        <v>1523.89</v>
      </c>
      <c r="W1191" s="3">
        <v>652.88</v>
      </c>
    </row>
    <row r="1192" spans="1:23" ht="36.75">
      <c r="A1192" s="3" t="s">
        <v>23</v>
      </c>
      <c r="B1192" s="3" t="s">
        <v>24</v>
      </c>
      <c r="C1192" s="3" t="s">
        <v>35</v>
      </c>
      <c r="D1192" s="3" t="s">
        <v>43</v>
      </c>
      <c r="E1192" s="3" t="s">
        <v>30</v>
      </c>
      <c r="F1192" s="3" t="s">
        <v>109</v>
      </c>
      <c r="G1192" s="3">
        <v>2016</v>
      </c>
      <c r="H1192" s="3" t="str">
        <f>CONCATENATE("64240768305")</f>
        <v>64240768305</v>
      </c>
      <c r="I1192" s="3" t="s">
        <v>25</v>
      </c>
      <c r="J1192" s="3" t="s">
        <v>26</v>
      </c>
      <c r="K1192" s="3" t="str">
        <f t="shared" si="40"/>
        <v/>
      </c>
      <c r="L1192" s="3" t="str">
        <f>CONCATENATE("11 11.1 4b")</f>
        <v>11 11.1 4b</v>
      </c>
      <c r="M1192" s="3" t="str">
        <f>CONCATENATE("01196350415")</f>
        <v>01196350415</v>
      </c>
      <c r="N1192" s="3" t="s">
        <v>1272</v>
      </c>
      <c r="O1192" s="3"/>
      <c r="P1192" s="4">
        <v>42783</v>
      </c>
      <c r="Q1192" s="3" t="s">
        <v>27</v>
      </c>
      <c r="R1192" s="3" t="s">
        <v>28</v>
      </c>
      <c r="S1192" s="3" t="s">
        <v>29</v>
      </c>
      <c r="T1192" s="5">
        <v>3372.2</v>
      </c>
      <c r="U1192" s="5">
        <v>1454.09</v>
      </c>
      <c r="V1192" s="5">
        <v>1342.81</v>
      </c>
      <c r="W1192" s="3">
        <v>575.29999999999995</v>
      </c>
    </row>
    <row r="1193" spans="1:23" ht="60.75">
      <c r="A1193" s="3" t="s">
        <v>23</v>
      </c>
      <c r="B1193" s="3" t="s">
        <v>24</v>
      </c>
      <c r="C1193" s="3" t="s">
        <v>35</v>
      </c>
      <c r="D1193" s="3" t="s">
        <v>48</v>
      </c>
      <c r="E1193" s="3" t="s">
        <v>42</v>
      </c>
      <c r="F1193" s="3" t="s">
        <v>42</v>
      </c>
      <c r="G1193" s="3">
        <v>2016</v>
      </c>
      <c r="H1193" s="3" t="str">
        <f>CONCATENATE("64240599759")</f>
        <v>64240599759</v>
      </c>
      <c r="I1193" s="3" t="s">
        <v>25</v>
      </c>
      <c r="J1193" s="3" t="s">
        <v>26</v>
      </c>
      <c r="K1193" s="3" t="str">
        <f t="shared" si="40"/>
        <v/>
      </c>
      <c r="L1193" s="3" t="str">
        <f>CONCATENATE("11 11.2 4b")</f>
        <v>11 11.2 4b</v>
      </c>
      <c r="M1193" s="3" t="str">
        <f>CONCATENATE("MRCLSS34S24G637A")</f>
        <v>MRCLSS34S24G637A</v>
      </c>
      <c r="N1193" s="3" t="s">
        <v>1273</v>
      </c>
      <c r="O1193" s="3"/>
      <c r="P1193" s="4">
        <v>42783</v>
      </c>
      <c r="Q1193" s="3" t="s">
        <v>27</v>
      </c>
      <c r="R1193" s="3" t="s">
        <v>28</v>
      </c>
      <c r="S1193" s="3" t="s">
        <v>29</v>
      </c>
      <c r="T1193" s="5">
        <v>8077.39</v>
      </c>
      <c r="U1193" s="5">
        <v>3482.97</v>
      </c>
      <c r="V1193" s="5">
        <v>3216.42</v>
      </c>
      <c r="W1193" s="5">
        <v>1378</v>
      </c>
    </row>
    <row r="1194" spans="1:23" ht="60.75">
      <c r="A1194" s="3" t="s">
        <v>23</v>
      </c>
      <c r="B1194" s="3" t="s">
        <v>24</v>
      </c>
      <c r="C1194" s="3" t="s">
        <v>35</v>
      </c>
      <c r="D1194" s="3" t="s">
        <v>39</v>
      </c>
      <c r="E1194" s="3" t="s">
        <v>32</v>
      </c>
      <c r="F1194" s="3" t="s">
        <v>69</v>
      </c>
      <c r="G1194" s="3">
        <v>2016</v>
      </c>
      <c r="H1194" s="3" t="str">
        <f>CONCATENATE("64240498788")</f>
        <v>64240498788</v>
      </c>
      <c r="I1194" s="3" t="s">
        <v>25</v>
      </c>
      <c r="J1194" s="3" t="s">
        <v>26</v>
      </c>
      <c r="K1194" s="3" t="str">
        <f t="shared" si="40"/>
        <v/>
      </c>
      <c r="L1194" s="3" t="str">
        <f>CONCATENATE("11 11.1 4b")</f>
        <v>11 11.1 4b</v>
      </c>
      <c r="M1194" s="3" t="str">
        <f>CONCATENATE("GHLTNA83P44L500Y")</f>
        <v>GHLTNA83P44L500Y</v>
      </c>
      <c r="N1194" s="3" t="s">
        <v>1274</v>
      </c>
      <c r="O1194" s="3"/>
      <c r="P1194" s="4">
        <v>42783</v>
      </c>
      <c r="Q1194" s="3" t="s">
        <v>27</v>
      </c>
      <c r="R1194" s="3" t="s">
        <v>28</v>
      </c>
      <c r="S1194" s="3" t="s">
        <v>29</v>
      </c>
      <c r="T1194" s="3">
        <v>821.77</v>
      </c>
      <c r="U1194" s="3">
        <v>354.35</v>
      </c>
      <c r="V1194" s="3">
        <v>327.23</v>
      </c>
      <c r="W1194" s="3">
        <v>140.19</v>
      </c>
    </row>
    <row r="1195" spans="1:23" ht="72.75">
      <c r="A1195" s="3" t="s">
        <v>23</v>
      </c>
      <c r="B1195" s="3" t="s">
        <v>24</v>
      </c>
      <c r="C1195" s="3" t="s">
        <v>35</v>
      </c>
      <c r="D1195" s="3" t="s">
        <v>48</v>
      </c>
      <c r="E1195" s="3" t="s">
        <v>30</v>
      </c>
      <c r="F1195" s="3" t="s">
        <v>111</v>
      </c>
      <c r="G1195" s="3">
        <v>2016</v>
      </c>
      <c r="H1195" s="3" t="str">
        <f>CONCATENATE("64240824215")</f>
        <v>64240824215</v>
      </c>
      <c r="I1195" s="3" t="s">
        <v>25</v>
      </c>
      <c r="J1195" s="3" t="s">
        <v>26</v>
      </c>
      <c r="K1195" s="3" t="str">
        <f t="shared" si="40"/>
        <v/>
      </c>
      <c r="L1195" s="3" t="str">
        <f>CONCATENATE("11 11.2 4b")</f>
        <v>11 11.2 4b</v>
      </c>
      <c r="M1195" s="3" t="str">
        <f>CONCATENATE("BRNGMR60R26H211B")</f>
        <v>BRNGMR60R26H211B</v>
      </c>
      <c r="N1195" s="3" t="s">
        <v>1275</v>
      </c>
      <c r="O1195" s="3"/>
      <c r="P1195" s="4">
        <v>42783</v>
      </c>
      <c r="Q1195" s="3" t="s">
        <v>27</v>
      </c>
      <c r="R1195" s="3" t="s">
        <v>28</v>
      </c>
      <c r="S1195" s="3" t="s">
        <v>29</v>
      </c>
      <c r="T1195" s="5">
        <v>23662.52</v>
      </c>
      <c r="U1195" s="5">
        <v>10203.280000000001</v>
      </c>
      <c r="V1195" s="5">
        <v>9422.42</v>
      </c>
      <c r="W1195" s="5">
        <v>4036.82</v>
      </c>
    </row>
    <row r="1196" spans="1:23" ht="72.75">
      <c r="A1196" s="3" t="s">
        <v>23</v>
      </c>
      <c r="B1196" s="3" t="s">
        <v>24</v>
      </c>
      <c r="C1196" s="3" t="s">
        <v>35</v>
      </c>
      <c r="D1196" s="3" t="s">
        <v>48</v>
      </c>
      <c r="E1196" s="3" t="s">
        <v>32</v>
      </c>
      <c r="F1196" s="3" t="s">
        <v>129</v>
      </c>
      <c r="G1196" s="3">
        <v>2016</v>
      </c>
      <c r="H1196" s="3" t="str">
        <f>CONCATENATE("64240143137")</f>
        <v>64240143137</v>
      </c>
      <c r="I1196" s="3" t="s">
        <v>25</v>
      </c>
      <c r="J1196" s="3" t="s">
        <v>26</v>
      </c>
      <c r="K1196" s="3" t="str">
        <f t="shared" si="40"/>
        <v/>
      </c>
      <c r="L1196" s="3" t="str">
        <f>CONCATENATE("11 11.2 4b")</f>
        <v>11 11.2 4b</v>
      </c>
      <c r="M1196" s="3" t="str">
        <f>CONCATENATE("MRTMGH59T59B602K")</f>
        <v>MRTMGH59T59B602K</v>
      </c>
      <c r="N1196" s="3" t="s">
        <v>1276</v>
      </c>
      <c r="O1196" s="3"/>
      <c r="P1196" s="4">
        <v>42783</v>
      </c>
      <c r="Q1196" s="3" t="s">
        <v>27</v>
      </c>
      <c r="R1196" s="3" t="s">
        <v>28</v>
      </c>
      <c r="S1196" s="3" t="s">
        <v>29</v>
      </c>
      <c r="T1196" s="5">
        <v>1746.58</v>
      </c>
      <c r="U1196" s="3">
        <v>753.13</v>
      </c>
      <c r="V1196" s="3">
        <v>695.49</v>
      </c>
      <c r="W1196" s="3">
        <v>297.95999999999998</v>
      </c>
    </row>
    <row r="1197" spans="1:23" ht="60.75">
      <c r="A1197" s="3" t="s">
        <v>23</v>
      </c>
      <c r="B1197" s="3" t="s">
        <v>24</v>
      </c>
      <c r="C1197" s="3" t="s">
        <v>35</v>
      </c>
      <c r="D1197" s="3" t="s">
        <v>36</v>
      </c>
      <c r="E1197" s="3" t="s">
        <v>59</v>
      </c>
      <c r="F1197" s="3" t="s">
        <v>62</v>
      </c>
      <c r="G1197" s="3">
        <v>2016</v>
      </c>
      <c r="H1197" s="3" t="str">
        <f>CONCATENATE("64240385605")</f>
        <v>64240385605</v>
      </c>
      <c r="I1197" s="3" t="s">
        <v>25</v>
      </c>
      <c r="J1197" s="3" t="s">
        <v>26</v>
      </c>
      <c r="K1197" s="3" t="str">
        <f t="shared" si="40"/>
        <v/>
      </c>
      <c r="L1197" s="3" t="str">
        <f>CONCATENATE("11 11.2 4b")</f>
        <v>11 11.2 4b</v>
      </c>
      <c r="M1197" s="3" t="str">
        <f>CONCATENATE("VLPTMS52L26H321B")</f>
        <v>VLPTMS52L26H321B</v>
      </c>
      <c r="N1197" s="3" t="s">
        <v>1277</v>
      </c>
      <c r="O1197" s="3"/>
      <c r="P1197" s="4">
        <v>42783</v>
      </c>
      <c r="Q1197" s="3" t="s">
        <v>27</v>
      </c>
      <c r="R1197" s="3" t="s">
        <v>28</v>
      </c>
      <c r="S1197" s="3" t="s">
        <v>29</v>
      </c>
      <c r="T1197" s="5">
        <v>2211.11</v>
      </c>
      <c r="U1197" s="3">
        <v>953.43</v>
      </c>
      <c r="V1197" s="3">
        <v>880.46</v>
      </c>
      <c r="W1197" s="3">
        <v>377.22</v>
      </c>
    </row>
    <row r="1198" spans="1:23" ht="36.75">
      <c r="A1198" s="3" t="s">
        <v>23</v>
      </c>
      <c r="B1198" s="3" t="s">
        <v>24</v>
      </c>
      <c r="C1198" s="3" t="s">
        <v>35</v>
      </c>
      <c r="D1198" s="3" t="s">
        <v>48</v>
      </c>
      <c r="E1198" s="3" t="s">
        <v>34</v>
      </c>
      <c r="F1198" s="3" t="s">
        <v>141</v>
      </c>
      <c r="G1198" s="3">
        <v>2016</v>
      </c>
      <c r="H1198" s="3" t="str">
        <f>CONCATENATE("64240738548")</f>
        <v>64240738548</v>
      </c>
      <c r="I1198" s="3" t="s">
        <v>25</v>
      </c>
      <c r="J1198" s="3" t="s">
        <v>26</v>
      </c>
      <c r="K1198" s="3" t="str">
        <f t="shared" ref="K1198:K1261" si="41">CONCATENATE("")</f>
        <v/>
      </c>
      <c r="L1198" s="3" t="str">
        <f>CONCATENATE("11 11.2 4b")</f>
        <v>11 11.2 4b</v>
      </c>
      <c r="M1198" s="3" t="str">
        <f>CONCATENATE("01271260307")</f>
        <v>01271260307</v>
      </c>
      <c r="N1198" s="3" t="s">
        <v>1278</v>
      </c>
      <c r="O1198" s="3"/>
      <c r="P1198" s="4">
        <v>42783</v>
      </c>
      <c r="Q1198" s="3" t="s">
        <v>27</v>
      </c>
      <c r="R1198" s="3" t="s">
        <v>28</v>
      </c>
      <c r="S1198" s="3" t="s">
        <v>29</v>
      </c>
      <c r="T1198" s="5">
        <v>2763.08</v>
      </c>
      <c r="U1198" s="5">
        <v>1191.44</v>
      </c>
      <c r="V1198" s="5">
        <v>1100.26</v>
      </c>
      <c r="W1198" s="3">
        <v>471.38</v>
      </c>
    </row>
    <row r="1199" spans="1:23" ht="60.75">
      <c r="A1199" s="3" t="s">
        <v>23</v>
      </c>
      <c r="B1199" s="3" t="s">
        <v>24</v>
      </c>
      <c r="C1199" s="3" t="s">
        <v>35</v>
      </c>
      <c r="D1199" s="3" t="s">
        <v>48</v>
      </c>
      <c r="E1199" s="3" t="s">
        <v>30</v>
      </c>
      <c r="F1199" s="3" t="s">
        <v>57</v>
      </c>
      <c r="G1199" s="3">
        <v>2016</v>
      </c>
      <c r="H1199" s="3" t="str">
        <f>CONCATENATE("64240373650")</f>
        <v>64240373650</v>
      </c>
      <c r="I1199" s="3" t="s">
        <v>25</v>
      </c>
      <c r="J1199" s="3" t="s">
        <v>26</v>
      </c>
      <c r="K1199" s="3" t="str">
        <f t="shared" si="41"/>
        <v/>
      </c>
      <c r="L1199" s="3" t="str">
        <f>CONCATENATE("11 11.2 4b")</f>
        <v>11 11.2 4b</v>
      </c>
      <c r="M1199" s="3" t="str">
        <f>CONCATENATE("FSRLCU67L25L191G")</f>
        <v>FSRLCU67L25L191G</v>
      </c>
      <c r="N1199" s="3" t="s">
        <v>1279</v>
      </c>
      <c r="O1199" s="3"/>
      <c r="P1199" s="4">
        <v>42783</v>
      </c>
      <c r="Q1199" s="3" t="s">
        <v>27</v>
      </c>
      <c r="R1199" s="3" t="s">
        <v>28</v>
      </c>
      <c r="S1199" s="3" t="s">
        <v>29</v>
      </c>
      <c r="T1199" s="5">
        <v>10863.24</v>
      </c>
      <c r="U1199" s="5">
        <v>4684.2299999999996</v>
      </c>
      <c r="V1199" s="5">
        <v>4325.74</v>
      </c>
      <c r="W1199" s="5">
        <v>1853.27</v>
      </c>
    </row>
    <row r="1200" spans="1:23" ht="60.75">
      <c r="A1200" s="3" t="s">
        <v>23</v>
      </c>
      <c r="B1200" s="3" t="s">
        <v>24</v>
      </c>
      <c r="C1200" s="3" t="s">
        <v>35</v>
      </c>
      <c r="D1200" s="3" t="s">
        <v>43</v>
      </c>
      <c r="E1200" s="3" t="s">
        <v>33</v>
      </c>
      <c r="F1200" s="3" t="s">
        <v>122</v>
      </c>
      <c r="G1200" s="3">
        <v>2016</v>
      </c>
      <c r="H1200" s="3" t="str">
        <f>CONCATENATE("64210946360")</f>
        <v>64210946360</v>
      </c>
      <c r="I1200" s="3" t="s">
        <v>31</v>
      </c>
      <c r="J1200" s="3" t="s">
        <v>26</v>
      </c>
      <c r="K1200" s="3" t="str">
        <f t="shared" si="41"/>
        <v/>
      </c>
      <c r="L1200" s="3" t="str">
        <f>CONCATENATE("13 13.1 4a")</f>
        <v>13 13.1 4a</v>
      </c>
      <c r="M1200" s="3" t="str">
        <f>CONCATENATE("MRAFLV63H10I459Q")</f>
        <v>MRAFLV63H10I459Q</v>
      </c>
      <c r="N1200" s="3" t="s">
        <v>1280</v>
      </c>
      <c r="O1200" s="3"/>
      <c r="P1200" s="4">
        <v>42783</v>
      </c>
      <c r="Q1200" s="3" t="s">
        <v>27</v>
      </c>
      <c r="R1200" s="3" t="s">
        <v>28</v>
      </c>
      <c r="S1200" s="3" t="s">
        <v>29</v>
      </c>
      <c r="T1200" s="5">
        <v>3999.65</v>
      </c>
      <c r="U1200" s="5">
        <v>1724.65</v>
      </c>
      <c r="V1200" s="5">
        <v>1592.66</v>
      </c>
      <c r="W1200" s="3">
        <v>682.34</v>
      </c>
    </row>
    <row r="1201" spans="1:23" ht="60.75">
      <c r="A1201" s="3" t="s">
        <v>23</v>
      </c>
      <c r="B1201" s="3" t="s">
        <v>24</v>
      </c>
      <c r="C1201" s="3" t="s">
        <v>35</v>
      </c>
      <c r="D1201" s="3" t="s">
        <v>48</v>
      </c>
      <c r="E1201" s="3" t="s">
        <v>30</v>
      </c>
      <c r="F1201" s="3" t="s">
        <v>91</v>
      </c>
      <c r="G1201" s="3">
        <v>2016</v>
      </c>
      <c r="H1201" s="3" t="str">
        <f>CONCATENATE("64210538027")</f>
        <v>64210538027</v>
      </c>
      <c r="I1201" s="3" t="s">
        <v>25</v>
      </c>
      <c r="J1201" s="3" t="s">
        <v>26</v>
      </c>
      <c r="K1201" s="3" t="str">
        <f t="shared" si="41"/>
        <v/>
      </c>
      <c r="L1201" s="3" t="str">
        <f>CONCATENATE("13 13.1 4a")</f>
        <v>13 13.1 4a</v>
      </c>
      <c r="M1201" s="3" t="str">
        <f>CONCATENATE("RCNVLN59S13D564L")</f>
        <v>RCNVLN59S13D564L</v>
      </c>
      <c r="N1201" s="3" t="s">
        <v>1281</v>
      </c>
      <c r="O1201" s="3"/>
      <c r="P1201" s="4">
        <v>42783</v>
      </c>
      <c r="Q1201" s="3" t="s">
        <v>27</v>
      </c>
      <c r="R1201" s="3" t="s">
        <v>28</v>
      </c>
      <c r="S1201" s="3" t="s">
        <v>29</v>
      </c>
      <c r="T1201" s="5">
        <v>2532.14</v>
      </c>
      <c r="U1201" s="5">
        <v>1091.8599999999999</v>
      </c>
      <c r="V1201" s="5">
        <v>1008.3</v>
      </c>
      <c r="W1201" s="3">
        <v>431.98</v>
      </c>
    </row>
    <row r="1202" spans="1:23" ht="72.75">
      <c r="A1202" s="3" t="s">
        <v>23</v>
      </c>
      <c r="B1202" s="3" t="s">
        <v>24</v>
      </c>
      <c r="C1202" s="3" t="s">
        <v>35</v>
      </c>
      <c r="D1202" s="3" t="s">
        <v>36</v>
      </c>
      <c r="E1202" s="3" t="s">
        <v>30</v>
      </c>
      <c r="F1202" s="3" t="s">
        <v>37</v>
      </c>
      <c r="G1202" s="3">
        <v>2016</v>
      </c>
      <c r="H1202" s="3" t="str">
        <f>CONCATENATE("64240363859")</f>
        <v>64240363859</v>
      </c>
      <c r="I1202" s="3" t="s">
        <v>25</v>
      </c>
      <c r="J1202" s="3" t="s">
        <v>26</v>
      </c>
      <c r="K1202" s="3" t="str">
        <f t="shared" si="41"/>
        <v/>
      </c>
      <c r="L1202" s="3" t="str">
        <f>CONCATENATE("11 11.2 4b")</f>
        <v>11 11.2 4b</v>
      </c>
      <c r="M1202" s="3" t="str">
        <f>CONCATENATE("RMNCLD60M25F415V")</f>
        <v>RMNCLD60M25F415V</v>
      </c>
      <c r="N1202" s="3" t="s">
        <v>1282</v>
      </c>
      <c r="O1202" s="3"/>
      <c r="P1202" s="4">
        <v>42783</v>
      </c>
      <c r="Q1202" s="3" t="s">
        <v>27</v>
      </c>
      <c r="R1202" s="3" t="s">
        <v>28</v>
      </c>
      <c r="S1202" s="3" t="s">
        <v>29</v>
      </c>
      <c r="T1202" s="5">
        <v>6167.21</v>
      </c>
      <c r="U1202" s="5">
        <v>2659.3</v>
      </c>
      <c r="V1202" s="5">
        <v>2455.7800000000002</v>
      </c>
      <c r="W1202" s="5">
        <v>1052.1300000000001</v>
      </c>
    </row>
    <row r="1203" spans="1:23" ht="60.75">
      <c r="A1203" s="3" t="s">
        <v>23</v>
      </c>
      <c r="B1203" s="3" t="s">
        <v>24</v>
      </c>
      <c r="C1203" s="3" t="s">
        <v>35</v>
      </c>
      <c r="D1203" s="3" t="s">
        <v>39</v>
      </c>
      <c r="E1203" s="3" t="s">
        <v>32</v>
      </c>
      <c r="F1203" s="3" t="s">
        <v>215</v>
      </c>
      <c r="G1203" s="3">
        <v>2016</v>
      </c>
      <c r="H1203" s="3" t="str">
        <f>CONCATENATE("64240368338")</f>
        <v>64240368338</v>
      </c>
      <c r="I1203" s="3" t="s">
        <v>25</v>
      </c>
      <c r="J1203" s="3" t="s">
        <v>26</v>
      </c>
      <c r="K1203" s="3" t="str">
        <f t="shared" si="41"/>
        <v/>
      </c>
      <c r="L1203" s="3" t="str">
        <f>CONCATENATE("11 11.2 4b")</f>
        <v>11 11.2 4b</v>
      </c>
      <c r="M1203" s="3" t="str">
        <f>CONCATENATE("TRNGCR54C11D965P")</f>
        <v>TRNGCR54C11D965P</v>
      </c>
      <c r="N1203" s="3" t="s">
        <v>1283</v>
      </c>
      <c r="O1203" s="3"/>
      <c r="P1203" s="4">
        <v>42783</v>
      </c>
      <c r="Q1203" s="3" t="s">
        <v>27</v>
      </c>
      <c r="R1203" s="3" t="s">
        <v>28</v>
      </c>
      <c r="S1203" s="3" t="s">
        <v>29</v>
      </c>
      <c r="T1203" s="5">
        <v>1473.85</v>
      </c>
      <c r="U1203" s="3">
        <v>635.52</v>
      </c>
      <c r="V1203" s="3">
        <v>586.89</v>
      </c>
      <c r="W1203" s="3">
        <v>251.44</v>
      </c>
    </row>
    <row r="1204" spans="1:23" ht="60.75">
      <c r="A1204" s="3" t="s">
        <v>23</v>
      </c>
      <c r="B1204" s="3" t="s">
        <v>24</v>
      </c>
      <c r="C1204" s="3" t="s">
        <v>35</v>
      </c>
      <c r="D1204" s="3" t="s">
        <v>43</v>
      </c>
      <c r="E1204" s="3" t="s">
        <v>30</v>
      </c>
      <c r="F1204" s="3" t="s">
        <v>113</v>
      </c>
      <c r="G1204" s="3">
        <v>2016</v>
      </c>
      <c r="H1204" s="3" t="str">
        <f>CONCATENATE("64210995185")</f>
        <v>64210995185</v>
      </c>
      <c r="I1204" s="3" t="s">
        <v>25</v>
      </c>
      <c r="J1204" s="3" t="s">
        <v>26</v>
      </c>
      <c r="K1204" s="3" t="str">
        <f t="shared" si="41"/>
        <v/>
      </c>
      <c r="L1204" s="3" t="str">
        <f>CONCATENATE("13 13.1 4a")</f>
        <v>13 13.1 4a</v>
      </c>
      <c r="M1204" s="3" t="str">
        <f>CONCATENATE("CRPGST51S04B352L")</f>
        <v>CRPGST51S04B352L</v>
      </c>
      <c r="N1204" s="3" t="s">
        <v>1284</v>
      </c>
      <c r="O1204" s="3"/>
      <c r="P1204" s="4">
        <v>42783</v>
      </c>
      <c r="Q1204" s="3" t="s">
        <v>27</v>
      </c>
      <c r="R1204" s="3" t="s">
        <v>28</v>
      </c>
      <c r="S1204" s="3" t="s">
        <v>29</v>
      </c>
      <c r="T1204" s="3">
        <v>665.34</v>
      </c>
      <c r="U1204" s="3">
        <v>286.89</v>
      </c>
      <c r="V1204" s="3">
        <v>264.94</v>
      </c>
      <c r="W1204" s="3">
        <v>113.51</v>
      </c>
    </row>
    <row r="1205" spans="1:23" ht="60.75">
      <c r="A1205" s="3" t="s">
        <v>23</v>
      </c>
      <c r="B1205" s="3" t="s">
        <v>24</v>
      </c>
      <c r="C1205" s="3" t="s">
        <v>35</v>
      </c>
      <c r="D1205" s="3" t="s">
        <v>39</v>
      </c>
      <c r="E1205" s="3" t="s">
        <v>30</v>
      </c>
      <c r="F1205" s="3" t="s">
        <v>72</v>
      </c>
      <c r="G1205" s="3">
        <v>2016</v>
      </c>
      <c r="H1205" s="3" t="str">
        <f>CONCATENATE("64240369732")</f>
        <v>64240369732</v>
      </c>
      <c r="I1205" s="3" t="s">
        <v>25</v>
      </c>
      <c r="J1205" s="3" t="s">
        <v>26</v>
      </c>
      <c r="K1205" s="3" t="str">
        <f t="shared" si="41"/>
        <v/>
      </c>
      <c r="L1205" s="3" t="str">
        <f>CONCATENATE("11 11.2 4b")</f>
        <v>11 11.2 4b</v>
      </c>
      <c r="M1205" s="3" t="str">
        <f>CONCATENATE("ZZZDRN64M69F978D")</f>
        <v>ZZZDRN64M69F978D</v>
      </c>
      <c r="N1205" s="3" t="s">
        <v>1285</v>
      </c>
      <c r="O1205" s="3"/>
      <c r="P1205" s="4">
        <v>42783</v>
      </c>
      <c r="Q1205" s="3" t="s">
        <v>27</v>
      </c>
      <c r="R1205" s="3" t="s">
        <v>28</v>
      </c>
      <c r="S1205" s="3" t="s">
        <v>29</v>
      </c>
      <c r="T1205" s="5">
        <v>4449.6899999999996</v>
      </c>
      <c r="U1205" s="5">
        <v>1918.71</v>
      </c>
      <c r="V1205" s="5">
        <v>1771.87</v>
      </c>
      <c r="W1205" s="3">
        <v>759.11</v>
      </c>
    </row>
    <row r="1206" spans="1:23" ht="36.75">
      <c r="A1206" s="3" t="s">
        <v>23</v>
      </c>
      <c r="B1206" s="3" t="s">
        <v>24</v>
      </c>
      <c r="C1206" s="3" t="s">
        <v>35</v>
      </c>
      <c r="D1206" s="3" t="s">
        <v>43</v>
      </c>
      <c r="E1206" s="3" t="s">
        <v>33</v>
      </c>
      <c r="F1206" s="3" t="s">
        <v>122</v>
      </c>
      <c r="G1206" s="3">
        <v>2016</v>
      </c>
      <c r="H1206" s="3" t="str">
        <f>CONCATENATE("64211067737")</f>
        <v>64211067737</v>
      </c>
      <c r="I1206" s="3" t="s">
        <v>25</v>
      </c>
      <c r="J1206" s="3" t="s">
        <v>26</v>
      </c>
      <c r="K1206" s="3" t="str">
        <f t="shared" si="41"/>
        <v/>
      </c>
      <c r="L1206" s="3" t="str">
        <f>CONCATENATE("13 13.1 4a")</f>
        <v>13 13.1 4a</v>
      </c>
      <c r="M1206" s="3" t="str">
        <f>CONCATENATE("01063650418")</f>
        <v>01063650418</v>
      </c>
      <c r="N1206" s="3" t="s">
        <v>1286</v>
      </c>
      <c r="O1206" s="3"/>
      <c r="P1206" s="4">
        <v>42783</v>
      </c>
      <c r="Q1206" s="3" t="s">
        <v>27</v>
      </c>
      <c r="R1206" s="3" t="s">
        <v>28</v>
      </c>
      <c r="S1206" s="3" t="s">
        <v>29</v>
      </c>
      <c r="T1206" s="5">
        <v>1013.69</v>
      </c>
      <c r="U1206" s="3">
        <v>437.1</v>
      </c>
      <c r="V1206" s="3">
        <v>403.65</v>
      </c>
      <c r="W1206" s="3">
        <v>172.94</v>
      </c>
    </row>
    <row r="1207" spans="1:23" ht="60.75">
      <c r="A1207" s="3" t="s">
        <v>23</v>
      </c>
      <c r="B1207" s="3" t="s">
        <v>24</v>
      </c>
      <c r="C1207" s="3" t="s">
        <v>35</v>
      </c>
      <c r="D1207" s="3" t="s">
        <v>39</v>
      </c>
      <c r="E1207" s="3" t="s">
        <v>30</v>
      </c>
      <c r="F1207" s="3" t="s">
        <v>72</v>
      </c>
      <c r="G1207" s="3">
        <v>2016</v>
      </c>
      <c r="H1207" s="3" t="str">
        <f>CONCATENATE("64240640777")</f>
        <v>64240640777</v>
      </c>
      <c r="I1207" s="3" t="s">
        <v>25</v>
      </c>
      <c r="J1207" s="3" t="s">
        <v>26</v>
      </c>
      <c r="K1207" s="3" t="str">
        <f t="shared" si="41"/>
        <v/>
      </c>
      <c r="L1207" s="3" t="str">
        <f t="shared" ref="L1207:L1215" si="42">CONCATENATE("11 11.2 4b")</f>
        <v>11 11.2 4b</v>
      </c>
      <c r="M1207" s="3" t="str">
        <f>CONCATENATE("PNLFBA68C23A271W")</f>
        <v>PNLFBA68C23A271W</v>
      </c>
      <c r="N1207" s="3" t="s">
        <v>1287</v>
      </c>
      <c r="O1207" s="3"/>
      <c r="P1207" s="4">
        <v>42783</v>
      </c>
      <c r="Q1207" s="3" t="s">
        <v>27</v>
      </c>
      <c r="R1207" s="3" t="s">
        <v>28</v>
      </c>
      <c r="S1207" s="3" t="s">
        <v>29</v>
      </c>
      <c r="T1207" s="5">
        <v>1116.29</v>
      </c>
      <c r="U1207" s="3">
        <v>481.34</v>
      </c>
      <c r="V1207" s="3">
        <v>444.51</v>
      </c>
      <c r="W1207" s="3">
        <v>190.44</v>
      </c>
    </row>
    <row r="1208" spans="1:23" ht="60.75">
      <c r="A1208" s="3" t="s">
        <v>23</v>
      </c>
      <c r="B1208" s="3" t="s">
        <v>24</v>
      </c>
      <c r="C1208" s="3" t="s">
        <v>35</v>
      </c>
      <c r="D1208" s="3" t="s">
        <v>36</v>
      </c>
      <c r="E1208" s="3" t="s">
        <v>30</v>
      </c>
      <c r="F1208" s="3" t="s">
        <v>67</v>
      </c>
      <c r="G1208" s="3">
        <v>2016</v>
      </c>
      <c r="H1208" s="3" t="str">
        <f>CONCATENATE("64240495636")</f>
        <v>64240495636</v>
      </c>
      <c r="I1208" s="3" t="s">
        <v>25</v>
      </c>
      <c r="J1208" s="3" t="s">
        <v>26</v>
      </c>
      <c r="K1208" s="3" t="str">
        <f t="shared" si="41"/>
        <v/>
      </c>
      <c r="L1208" s="3" t="str">
        <f t="shared" si="42"/>
        <v>11 11.2 4b</v>
      </c>
      <c r="M1208" s="3" t="str">
        <f>CONCATENATE("PPTLNZ47R24D542S")</f>
        <v>PPTLNZ47R24D542S</v>
      </c>
      <c r="N1208" s="3" t="s">
        <v>1288</v>
      </c>
      <c r="O1208" s="3"/>
      <c r="P1208" s="4">
        <v>42783</v>
      </c>
      <c r="Q1208" s="3" t="s">
        <v>27</v>
      </c>
      <c r="R1208" s="3" t="s">
        <v>28</v>
      </c>
      <c r="S1208" s="3" t="s">
        <v>29</v>
      </c>
      <c r="T1208" s="5">
        <v>5550.11</v>
      </c>
      <c r="U1208" s="5">
        <v>2393.21</v>
      </c>
      <c r="V1208" s="5">
        <v>2210.0500000000002</v>
      </c>
      <c r="W1208" s="3">
        <v>946.85</v>
      </c>
    </row>
    <row r="1209" spans="1:23" ht="60.75">
      <c r="A1209" s="3" t="s">
        <v>23</v>
      </c>
      <c r="B1209" s="3" t="s">
        <v>24</v>
      </c>
      <c r="C1209" s="3" t="s">
        <v>35</v>
      </c>
      <c r="D1209" s="3" t="s">
        <v>39</v>
      </c>
      <c r="E1209" s="3" t="s">
        <v>30</v>
      </c>
      <c r="F1209" s="3" t="s">
        <v>40</v>
      </c>
      <c r="G1209" s="3">
        <v>2016</v>
      </c>
      <c r="H1209" s="3" t="str">
        <f>CONCATENATE("64240527156")</f>
        <v>64240527156</v>
      </c>
      <c r="I1209" s="3" t="s">
        <v>25</v>
      </c>
      <c r="J1209" s="3" t="s">
        <v>26</v>
      </c>
      <c r="K1209" s="3" t="str">
        <f t="shared" si="41"/>
        <v/>
      </c>
      <c r="L1209" s="3" t="str">
        <f t="shared" si="42"/>
        <v>11 11.2 4b</v>
      </c>
      <c r="M1209" s="3" t="str">
        <f>CONCATENATE("BRTMGL60C48C524I")</f>
        <v>BRTMGL60C48C524I</v>
      </c>
      <c r="N1209" s="3" t="s">
        <v>1289</v>
      </c>
      <c r="O1209" s="3"/>
      <c r="P1209" s="4">
        <v>42783</v>
      </c>
      <c r="Q1209" s="3" t="s">
        <v>27</v>
      </c>
      <c r="R1209" s="3" t="s">
        <v>28</v>
      </c>
      <c r="S1209" s="3" t="s">
        <v>29</v>
      </c>
      <c r="T1209" s="5">
        <v>1438.83</v>
      </c>
      <c r="U1209" s="3">
        <v>620.41999999999996</v>
      </c>
      <c r="V1209" s="3">
        <v>572.94000000000005</v>
      </c>
      <c r="W1209" s="3">
        <v>245.47</v>
      </c>
    </row>
    <row r="1210" spans="1:23" ht="60.75">
      <c r="A1210" s="3" t="s">
        <v>23</v>
      </c>
      <c r="B1210" s="3" t="s">
        <v>24</v>
      </c>
      <c r="C1210" s="3" t="s">
        <v>35</v>
      </c>
      <c r="D1210" s="3" t="s">
        <v>36</v>
      </c>
      <c r="E1210" s="3" t="s">
        <v>34</v>
      </c>
      <c r="F1210" s="3" t="s">
        <v>273</v>
      </c>
      <c r="G1210" s="3">
        <v>2016</v>
      </c>
      <c r="H1210" s="3" t="str">
        <f>CONCATENATE("64240227484")</f>
        <v>64240227484</v>
      </c>
      <c r="I1210" s="3" t="s">
        <v>25</v>
      </c>
      <c r="J1210" s="3" t="s">
        <v>26</v>
      </c>
      <c r="K1210" s="3" t="str">
        <f t="shared" si="41"/>
        <v/>
      </c>
      <c r="L1210" s="3" t="str">
        <f t="shared" si="42"/>
        <v>11 11.2 4b</v>
      </c>
      <c r="M1210" s="3" t="str">
        <f>CONCATENATE("FCRLGE56C12A462Z")</f>
        <v>FCRLGE56C12A462Z</v>
      </c>
      <c r="N1210" s="3" t="s">
        <v>1290</v>
      </c>
      <c r="O1210" s="3"/>
      <c r="P1210" s="4">
        <v>42783</v>
      </c>
      <c r="Q1210" s="3" t="s">
        <v>27</v>
      </c>
      <c r="R1210" s="3" t="s">
        <v>28</v>
      </c>
      <c r="S1210" s="3" t="s">
        <v>29</v>
      </c>
      <c r="T1210" s="5">
        <v>3141.6</v>
      </c>
      <c r="U1210" s="5">
        <v>1354.66</v>
      </c>
      <c r="V1210" s="5">
        <v>1250.99</v>
      </c>
      <c r="W1210" s="3">
        <v>535.95000000000005</v>
      </c>
    </row>
    <row r="1211" spans="1:23" ht="36.75">
      <c r="A1211" s="3" t="s">
        <v>23</v>
      </c>
      <c r="B1211" s="3" t="s">
        <v>24</v>
      </c>
      <c r="C1211" s="3" t="s">
        <v>35</v>
      </c>
      <c r="D1211" s="3" t="s">
        <v>43</v>
      </c>
      <c r="E1211" s="3" t="s">
        <v>49</v>
      </c>
      <c r="F1211" s="3" t="s">
        <v>139</v>
      </c>
      <c r="G1211" s="3">
        <v>2016</v>
      </c>
      <c r="H1211" s="3" t="str">
        <f>CONCATENATE("64240475380")</f>
        <v>64240475380</v>
      </c>
      <c r="I1211" s="3" t="s">
        <v>31</v>
      </c>
      <c r="J1211" s="3" t="s">
        <v>26</v>
      </c>
      <c r="K1211" s="3" t="str">
        <f t="shared" si="41"/>
        <v/>
      </c>
      <c r="L1211" s="3" t="str">
        <f t="shared" si="42"/>
        <v>11 11.2 4b</v>
      </c>
      <c r="M1211" s="3" t="str">
        <f>CONCATENATE("01383860416")</f>
        <v>01383860416</v>
      </c>
      <c r="N1211" s="3" t="s">
        <v>1291</v>
      </c>
      <c r="O1211" s="3"/>
      <c r="P1211" s="4">
        <v>42783</v>
      </c>
      <c r="Q1211" s="3" t="s">
        <v>27</v>
      </c>
      <c r="R1211" s="3" t="s">
        <v>28</v>
      </c>
      <c r="S1211" s="3" t="s">
        <v>29</v>
      </c>
      <c r="T1211" s="5">
        <v>10029.200000000001</v>
      </c>
      <c r="U1211" s="5">
        <v>4324.59</v>
      </c>
      <c r="V1211" s="5">
        <v>3993.63</v>
      </c>
      <c r="W1211" s="5">
        <v>1710.98</v>
      </c>
    </row>
    <row r="1212" spans="1:23" ht="60.75">
      <c r="A1212" s="3" t="s">
        <v>23</v>
      </c>
      <c r="B1212" s="3" t="s">
        <v>24</v>
      </c>
      <c r="C1212" s="3" t="s">
        <v>35</v>
      </c>
      <c r="D1212" s="3" t="s">
        <v>43</v>
      </c>
      <c r="E1212" s="3" t="s">
        <v>30</v>
      </c>
      <c r="F1212" s="3" t="s">
        <v>131</v>
      </c>
      <c r="G1212" s="3">
        <v>2016</v>
      </c>
      <c r="H1212" s="3" t="str">
        <f>CONCATENATE("64240904942")</f>
        <v>64240904942</v>
      </c>
      <c r="I1212" s="3" t="s">
        <v>25</v>
      </c>
      <c r="J1212" s="3" t="s">
        <v>26</v>
      </c>
      <c r="K1212" s="3" t="str">
        <f t="shared" si="41"/>
        <v/>
      </c>
      <c r="L1212" s="3" t="str">
        <f t="shared" si="42"/>
        <v>11 11.2 4b</v>
      </c>
      <c r="M1212" s="3" t="str">
        <f>CONCATENATE("SRFMRZ61S26E256F")</f>
        <v>SRFMRZ61S26E256F</v>
      </c>
      <c r="N1212" s="3" t="s">
        <v>1292</v>
      </c>
      <c r="O1212" s="3"/>
      <c r="P1212" s="4">
        <v>42783</v>
      </c>
      <c r="Q1212" s="3" t="s">
        <v>27</v>
      </c>
      <c r="R1212" s="3" t="s">
        <v>28</v>
      </c>
      <c r="S1212" s="3" t="s">
        <v>29</v>
      </c>
      <c r="T1212" s="5">
        <v>1093.8</v>
      </c>
      <c r="U1212" s="3">
        <v>471.65</v>
      </c>
      <c r="V1212" s="3">
        <v>435.55</v>
      </c>
      <c r="W1212" s="3">
        <v>186.6</v>
      </c>
    </row>
    <row r="1213" spans="1:23" ht="60.75">
      <c r="A1213" s="3" t="s">
        <v>23</v>
      </c>
      <c r="B1213" s="3" t="s">
        <v>24</v>
      </c>
      <c r="C1213" s="3" t="s">
        <v>35</v>
      </c>
      <c r="D1213" s="3" t="s">
        <v>48</v>
      </c>
      <c r="E1213" s="3" t="s">
        <v>32</v>
      </c>
      <c r="F1213" s="3" t="s">
        <v>129</v>
      </c>
      <c r="G1213" s="3">
        <v>2016</v>
      </c>
      <c r="H1213" s="3" t="str">
        <f>CONCATENATE("64240386017")</f>
        <v>64240386017</v>
      </c>
      <c r="I1213" s="3" t="s">
        <v>25</v>
      </c>
      <c r="J1213" s="3" t="s">
        <v>26</v>
      </c>
      <c r="K1213" s="3" t="str">
        <f t="shared" si="41"/>
        <v/>
      </c>
      <c r="L1213" s="3" t="str">
        <f t="shared" si="42"/>
        <v>11 11.2 4b</v>
      </c>
      <c r="M1213" s="3" t="str">
        <f>CONCATENATE("NPENDR75D28I156D")</f>
        <v>NPENDR75D28I156D</v>
      </c>
      <c r="N1213" s="3" t="s">
        <v>1293</v>
      </c>
      <c r="O1213" s="3"/>
      <c r="P1213" s="4">
        <v>42783</v>
      </c>
      <c r="Q1213" s="3" t="s">
        <v>27</v>
      </c>
      <c r="R1213" s="3" t="s">
        <v>28</v>
      </c>
      <c r="S1213" s="3" t="s">
        <v>29</v>
      </c>
      <c r="T1213" s="5">
        <v>4630.71</v>
      </c>
      <c r="U1213" s="5">
        <v>1996.76</v>
      </c>
      <c r="V1213" s="5">
        <v>1843.95</v>
      </c>
      <c r="W1213" s="3">
        <v>790</v>
      </c>
    </row>
    <row r="1214" spans="1:23" ht="72.75">
      <c r="A1214" s="3" t="s">
        <v>23</v>
      </c>
      <c r="B1214" s="3" t="s">
        <v>24</v>
      </c>
      <c r="C1214" s="3" t="s">
        <v>35</v>
      </c>
      <c r="D1214" s="3" t="s">
        <v>48</v>
      </c>
      <c r="E1214" s="3" t="s">
        <v>30</v>
      </c>
      <c r="F1214" s="3" t="s">
        <v>57</v>
      </c>
      <c r="G1214" s="3">
        <v>2016</v>
      </c>
      <c r="H1214" s="3" t="str">
        <f>CONCATENATE("64240459921")</f>
        <v>64240459921</v>
      </c>
      <c r="I1214" s="3" t="s">
        <v>25</v>
      </c>
      <c r="J1214" s="3" t="s">
        <v>26</v>
      </c>
      <c r="K1214" s="3" t="str">
        <f t="shared" si="41"/>
        <v/>
      </c>
      <c r="L1214" s="3" t="str">
        <f t="shared" si="42"/>
        <v>11 11.2 4b</v>
      </c>
      <c r="M1214" s="3" t="str">
        <f>CONCATENATE("CLOGNN66R25B474G")</f>
        <v>CLOGNN66R25B474G</v>
      </c>
      <c r="N1214" s="3" t="s">
        <v>1294</v>
      </c>
      <c r="O1214" s="3"/>
      <c r="P1214" s="4">
        <v>42783</v>
      </c>
      <c r="Q1214" s="3" t="s">
        <v>27</v>
      </c>
      <c r="R1214" s="3" t="s">
        <v>28</v>
      </c>
      <c r="S1214" s="3" t="s">
        <v>29</v>
      </c>
      <c r="T1214" s="5">
        <v>3397.46</v>
      </c>
      <c r="U1214" s="5">
        <v>1464.98</v>
      </c>
      <c r="V1214" s="5">
        <v>1352.87</v>
      </c>
      <c r="W1214" s="3">
        <v>579.61</v>
      </c>
    </row>
    <row r="1215" spans="1:23" ht="60.75">
      <c r="A1215" s="3" t="s">
        <v>23</v>
      </c>
      <c r="B1215" s="3" t="s">
        <v>24</v>
      </c>
      <c r="C1215" s="3" t="s">
        <v>35</v>
      </c>
      <c r="D1215" s="3" t="s">
        <v>48</v>
      </c>
      <c r="E1215" s="3" t="s">
        <v>34</v>
      </c>
      <c r="F1215" s="3" t="s">
        <v>141</v>
      </c>
      <c r="G1215" s="3">
        <v>2016</v>
      </c>
      <c r="H1215" s="3" t="str">
        <f>CONCATENATE("64240901971")</f>
        <v>64240901971</v>
      </c>
      <c r="I1215" s="3" t="s">
        <v>25</v>
      </c>
      <c r="J1215" s="3" t="s">
        <v>26</v>
      </c>
      <c r="K1215" s="3" t="str">
        <f t="shared" si="41"/>
        <v/>
      </c>
      <c r="L1215" s="3" t="str">
        <f t="shared" si="42"/>
        <v>11 11.2 4b</v>
      </c>
      <c r="M1215" s="3" t="str">
        <f>CONCATENATE("PCTNGL67D28G478T")</f>
        <v>PCTNGL67D28G478T</v>
      </c>
      <c r="N1215" s="3" t="s">
        <v>1295</v>
      </c>
      <c r="O1215" s="3"/>
      <c r="P1215" s="4">
        <v>42783</v>
      </c>
      <c r="Q1215" s="3" t="s">
        <v>27</v>
      </c>
      <c r="R1215" s="3" t="s">
        <v>28</v>
      </c>
      <c r="S1215" s="3" t="s">
        <v>29</v>
      </c>
      <c r="T1215" s="5">
        <v>1290.83</v>
      </c>
      <c r="U1215" s="3">
        <v>556.61</v>
      </c>
      <c r="V1215" s="3">
        <v>514.01</v>
      </c>
      <c r="W1215" s="3">
        <v>220.21</v>
      </c>
    </row>
    <row r="1216" spans="1:23" ht="36.75">
      <c r="A1216" s="3" t="s">
        <v>23</v>
      </c>
      <c r="B1216" s="3" t="s">
        <v>24</v>
      </c>
      <c r="C1216" s="3" t="s">
        <v>35</v>
      </c>
      <c r="D1216" s="3" t="s">
        <v>39</v>
      </c>
      <c r="E1216" s="3" t="s">
        <v>32</v>
      </c>
      <c r="F1216" s="3" t="s">
        <v>215</v>
      </c>
      <c r="G1216" s="3">
        <v>2016</v>
      </c>
      <c r="H1216" s="3" t="str">
        <f>CONCATENATE("64240322087")</f>
        <v>64240322087</v>
      </c>
      <c r="I1216" s="3" t="s">
        <v>25</v>
      </c>
      <c r="J1216" s="3" t="s">
        <v>26</v>
      </c>
      <c r="K1216" s="3" t="str">
        <f t="shared" si="41"/>
        <v/>
      </c>
      <c r="L1216" s="3" t="str">
        <f>CONCATENATE("11 11.1 4b")</f>
        <v>11 11.1 4b</v>
      </c>
      <c r="M1216" s="3" t="str">
        <f>CONCATENATE("02705660427")</f>
        <v>02705660427</v>
      </c>
      <c r="N1216" s="3" t="s">
        <v>1296</v>
      </c>
      <c r="O1216" s="3"/>
      <c r="P1216" s="4">
        <v>42783</v>
      </c>
      <c r="Q1216" s="3" t="s">
        <v>27</v>
      </c>
      <c r="R1216" s="3" t="s">
        <v>28</v>
      </c>
      <c r="S1216" s="3" t="s">
        <v>29</v>
      </c>
      <c r="T1216" s="5">
        <v>3502.58</v>
      </c>
      <c r="U1216" s="5">
        <v>1510.31</v>
      </c>
      <c r="V1216" s="5">
        <v>1394.73</v>
      </c>
      <c r="W1216" s="3">
        <v>597.54</v>
      </c>
    </row>
    <row r="1217" spans="1:23" ht="36.75">
      <c r="A1217" s="3" t="s">
        <v>23</v>
      </c>
      <c r="B1217" s="3" t="s">
        <v>24</v>
      </c>
      <c r="C1217" s="3" t="s">
        <v>35</v>
      </c>
      <c r="D1217" s="3" t="s">
        <v>43</v>
      </c>
      <c r="E1217" s="3" t="s">
        <v>30</v>
      </c>
      <c r="F1217" s="3" t="s">
        <v>131</v>
      </c>
      <c r="G1217" s="3">
        <v>2016</v>
      </c>
      <c r="H1217" s="3" t="str">
        <f>CONCATENATE("64240758330")</f>
        <v>64240758330</v>
      </c>
      <c r="I1217" s="3" t="s">
        <v>25</v>
      </c>
      <c r="J1217" s="3" t="s">
        <v>26</v>
      </c>
      <c r="K1217" s="3" t="str">
        <f t="shared" si="41"/>
        <v/>
      </c>
      <c r="L1217" s="3" t="str">
        <f>CONCATENATE("11 11.2 4b")</f>
        <v>11 11.2 4b</v>
      </c>
      <c r="M1217" s="3" t="str">
        <f>CONCATENATE("02344550419")</f>
        <v>02344550419</v>
      </c>
      <c r="N1217" s="3" t="s">
        <v>1297</v>
      </c>
      <c r="O1217" s="3"/>
      <c r="P1217" s="4">
        <v>42783</v>
      </c>
      <c r="Q1217" s="3" t="s">
        <v>27</v>
      </c>
      <c r="R1217" s="3" t="s">
        <v>28</v>
      </c>
      <c r="S1217" s="3" t="s">
        <v>29</v>
      </c>
      <c r="T1217" s="5">
        <v>16096.85</v>
      </c>
      <c r="U1217" s="5">
        <v>6940.96</v>
      </c>
      <c r="V1217" s="5">
        <v>6409.77</v>
      </c>
      <c r="W1217" s="5">
        <v>2746.12</v>
      </c>
    </row>
    <row r="1218" spans="1:23" ht="60.75">
      <c r="A1218" s="3" t="s">
        <v>23</v>
      </c>
      <c r="B1218" s="3" t="s">
        <v>24</v>
      </c>
      <c r="C1218" s="3" t="s">
        <v>35</v>
      </c>
      <c r="D1218" s="3" t="s">
        <v>36</v>
      </c>
      <c r="E1218" s="3" t="s">
        <v>30</v>
      </c>
      <c r="F1218" s="3" t="s">
        <v>37</v>
      </c>
      <c r="G1218" s="3">
        <v>2016</v>
      </c>
      <c r="H1218" s="3" t="str">
        <f>CONCATENATE("64240406922")</f>
        <v>64240406922</v>
      </c>
      <c r="I1218" s="3" t="s">
        <v>25</v>
      </c>
      <c r="J1218" s="3" t="s">
        <v>26</v>
      </c>
      <c r="K1218" s="3" t="str">
        <f t="shared" si="41"/>
        <v/>
      </c>
      <c r="L1218" s="3" t="str">
        <f>CONCATENATE("11 11.2 4b")</f>
        <v>11 11.2 4b</v>
      </c>
      <c r="M1218" s="3" t="str">
        <f>CONCATENATE("VLNLCN56H27F415X")</f>
        <v>VLNLCN56H27F415X</v>
      </c>
      <c r="N1218" s="3" t="s">
        <v>1298</v>
      </c>
      <c r="O1218" s="3"/>
      <c r="P1218" s="4">
        <v>42783</v>
      </c>
      <c r="Q1218" s="3" t="s">
        <v>27</v>
      </c>
      <c r="R1218" s="3" t="s">
        <v>28</v>
      </c>
      <c r="S1218" s="3" t="s">
        <v>29</v>
      </c>
      <c r="T1218" s="5">
        <v>1808.24</v>
      </c>
      <c r="U1218" s="3">
        <v>779.71</v>
      </c>
      <c r="V1218" s="3">
        <v>720.04</v>
      </c>
      <c r="W1218" s="3">
        <v>308.49</v>
      </c>
    </row>
    <row r="1219" spans="1:23" ht="60.75">
      <c r="A1219" s="3" t="s">
        <v>23</v>
      </c>
      <c r="B1219" s="3" t="s">
        <v>24</v>
      </c>
      <c r="C1219" s="3" t="s">
        <v>35</v>
      </c>
      <c r="D1219" s="3" t="s">
        <v>36</v>
      </c>
      <c r="E1219" s="3" t="s">
        <v>30</v>
      </c>
      <c r="F1219" s="3" t="s">
        <v>37</v>
      </c>
      <c r="G1219" s="3">
        <v>2016</v>
      </c>
      <c r="H1219" s="3" t="str">
        <f>CONCATENATE("64210710857")</f>
        <v>64210710857</v>
      </c>
      <c r="I1219" s="3" t="s">
        <v>25</v>
      </c>
      <c r="J1219" s="3" t="s">
        <v>26</v>
      </c>
      <c r="K1219" s="3" t="str">
        <f t="shared" si="41"/>
        <v/>
      </c>
      <c r="L1219" s="3" t="str">
        <f>CONCATENATE("13 13.1 4a")</f>
        <v>13 13.1 4a</v>
      </c>
      <c r="M1219" s="3" t="str">
        <f>CONCATENATE("CPRNLL42P13H588V")</f>
        <v>CPRNLL42P13H588V</v>
      </c>
      <c r="N1219" s="3" t="s">
        <v>1299</v>
      </c>
      <c r="O1219" s="3"/>
      <c r="P1219" s="4">
        <v>42783</v>
      </c>
      <c r="Q1219" s="3" t="s">
        <v>27</v>
      </c>
      <c r="R1219" s="3" t="s">
        <v>28</v>
      </c>
      <c r="S1219" s="3" t="s">
        <v>29</v>
      </c>
      <c r="T1219" s="5">
        <v>2556.42</v>
      </c>
      <c r="U1219" s="5">
        <v>1102.33</v>
      </c>
      <c r="V1219" s="5">
        <v>1017.97</v>
      </c>
      <c r="W1219" s="3">
        <v>436.12</v>
      </c>
    </row>
    <row r="1220" spans="1:23" ht="60.75">
      <c r="A1220" s="3" t="s">
        <v>23</v>
      </c>
      <c r="B1220" s="3" t="s">
        <v>24</v>
      </c>
      <c r="C1220" s="3" t="s">
        <v>35</v>
      </c>
      <c r="D1220" s="3" t="s">
        <v>48</v>
      </c>
      <c r="E1220" s="3" t="s">
        <v>30</v>
      </c>
      <c r="F1220" s="3" t="s">
        <v>55</v>
      </c>
      <c r="G1220" s="3">
        <v>2016</v>
      </c>
      <c r="H1220" s="3" t="str">
        <f>CONCATENATE("64240182051")</f>
        <v>64240182051</v>
      </c>
      <c r="I1220" s="3" t="s">
        <v>25</v>
      </c>
      <c r="J1220" s="3" t="s">
        <v>26</v>
      </c>
      <c r="K1220" s="3" t="str">
        <f t="shared" si="41"/>
        <v/>
      </c>
      <c r="L1220" s="3" t="str">
        <f>CONCATENATE("11 11.2 4b")</f>
        <v>11 11.2 4b</v>
      </c>
      <c r="M1220" s="3" t="str">
        <f>CONCATENATE("SBSJNN77S06E783Y")</f>
        <v>SBSJNN77S06E783Y</v>
      </c>
      <c r="N1220" s="3" t="s">
        <v>1300</v>
      </c>
      <c r="O1220" s="3"/>
      <c r="P1220" s="4">
        <v>42783</v>
      </c>
      <c r="Q1220" s="3" t="s">
        <v>27</v>
      </c>
      <c r="R1220" s="3" t="s">
        <v>28</v>
      </c>
      <c r="S1220" s="3" t="s">
        <v>29</v>
      </c>
      <c r="T1220" s="5">
        <v>3782.82</v>
      </c>
      <c r="U1220" s="5">
        <v>1631.15</v>
      </c>
      <c r="V1220" s="5">
        <v>1506.32</v>
      </c>
      <c r="W1220" s="3">
        <v>645.35</v>
      </c>
    </row>
    <row r="1221" spans="1:23" ht="60.75">
      <c r="A1221" s="3" t="s">
        <v>23</v>
      </c>
      <c r="B1221" s="3" t="s">
        <v>24</v>
      </c>
      <c r="C1221" s="3" t="s">
        <v>35</v>
      </c>
      <c r="D1221" s="3" t="s">
        <v>39</v>
      </c>
      <c r="E1221" s="3" t="s">
        <v>32</v>
      </c>
      <c r="F1221" s="3" t="s">
        <v>69</v>
      </c>
      <c r="G1221" s="3">
        <v>2016</v>
      </c>
      <c r="H1221" s="3" t="str">
        <f>CONCATENATE("64240502670")</f>
        <v>64240502670</v>
      </c>
      <c r="I1221" s="3" t="s">
        <v>25</v>
      </c>
      <c r="J1221" s="3" t="s">
        <v>26</v>
      </c>
      <c r="K1221" s="3" t="str">
        <f t="shared" si="41"/>
        <v/>
      </c>
      <c r="L1221" s="3" t="str">
        <f>CONCATENATE("11 11.2 4b")</f>
        <v>11 11.2 4b</v>
      </c>
      <c r="M1221" s="3" t="str">
        <f>CONCATENATE("BDYMLN71E42Z100O")</f>
        <v>BDYMLN71E42Z100O</v>
      </c>
      <c r="N1221" s="3" t="s">
        <v>878</v>
      </c>
      <c r="O1221" s="3"/>
      <c r="P1221" s="4">
        <v>42783</v>
      </c>
      <c r="Q1221" s="3" t="s">
        <v>27</v>
      </c>
      <c r="R1221" s="3" t="s">
        <v>28</v>
      </c>
      <c r="S1221" s="3" t="s">
        <v>29</v>
      </c>
      <c r="T1221" s="5">
        <v>2236.33</v>
      </c>
      <c r="U1221" s="3">
        <v>964.31</v>
      </c>
      <c r="V1221" s="3">
        <v>890.51</v>
      </c>
      <c r="W1221" s="3">
        <v>381.51</v>
      </c>
    </row>
    <row r="1222" spans="1:23" ht="72.75">
      <c r="A1222" s="3" t="s">
        <v>23</v>
      </c>
      <c r="B1222" s="3" t="s">
        <v>24</v>
      </c>
      <c r="C1222" s="3" t="s">
        <v>35</v>
      </c>
      <c r="D1222" s="3" t="s">
        <v>43</v>
      </c>
      <c r="E1222" s="3" t="s">
        <v>30</v>
      </c>
      <c r="F1222" s="3" t="s">
        <v>131</v>
      </c>
      <c r="G1222" s="3">
        <v>2016</v>
      </c>
      <c r="H1222" s="3" t="str">
        <f>CONCATENATE("64240842886")</f>
        <v>64240842886</v>
      </c>
      <c r="I1222" s="3" t="s">
        <v>25</v>
      </c>
      <c r="J1222" s="3" t="s">
        <v>26</v>
      </c>
      <c r="K1222" s="3" t="str">
        <f t="shared" si="41"/>
        <v/>
      </c>
      <c r="L1222" s="3" t="str">
        <f>CONCATENATE("11 11.2 4b")</f>
        <v>11 11.2 4b</v>
      </c>
      <c r="M1222" s="3" t="str">
        <f>CONCATENATE("RMTLND42A27D749O")</f>
        <v>RMTLND42A27D749O</v>
      </c>
      <c r="N1222" s="3" t="s">
        <v>1301</v>
      </c>
      <c r="O1222" s="3"/>
      <c r="P1222" s="4">
        <v>42783</v>
      </c>
      <c r="Q1222" s="3" t="s">
        <v>27</v>
      </c>
      <c r="R1222" s="3" t="s">
        <v>28</v>
      </c>
      <c r="S1222" s="3" t="s">
        <v>29</v>
      </c>
      <c r="T1222" s="5">
        <v>19331.82</v>
      </c>
      <c r="U1222" s="5">
        <v>8335.8799999999992</v>
      </c>
      <c r="V1222" s="5">
        <v>7697.93</v>
      </c>
      <c r="W1222" s="5">
        <v>3298.01</v>
      </c>
    </row>
    <row r="1223" spans="1:23" ht="72.75">
      <c r="A1223" s="3" t="s">
        <v>23</v>
      </c>
      <c r="B1223" s="3" t="s">
        <v>24</v>
      </c>
      <c r="C1223" s="3" t="s">
        <v>35</v>
      </c>
      <c r="D1223" s="3" t="s">
        <v>36</v>
      </c>
      <c r="E1223" s="3" t="s">
        <v>34</v>
      </c>
      <c r="F1223" s="3" t="s">
        <v>273</v>
      </c>
      <c r="G1223" s="3">
        <v>2016</v>
      </c>
      <c r="H1223" s="3" t="str">
        <f>CONCATENATE("64240073540")</f>
        <v>64240073540</v>
      </c>
      <c r="I1223" s="3" t="s">
        <v>25</v>
      </c>
      <c r="J1223" s="3" t="s">
        <v>26</v>
      </c>
      <c r="K1223" s="3" t="str">
        <f t="shared" si="41"/>
        <v/>
      </c>
      <c r="L1223" s="3" t="str">
        <f>CONCATENATE("11 11.2 4b")</f>
        <v>11 11.2 4b</v>
      </c>
      <c r="M1223" s="3" t="str">
        <f>CONCATENATE("GLNNNA64A49G224Q")</f>
        <v>GLNNNA64A49G224Q</v>
      </c>
      <c r="N1223" s="3" t="s">
        <v>1302</v>
      </c>
      <c r="O1223" s="3"/>
      <c r="P1223" s="4">
        <v>42783</v>
      </c>
      <c r="Q1223" s="3" t="s">
        <v>27</v>
      </c>
      <c r="R1223" s="3" t="s">
        <v>28</v>
      </c>
      <c r="S1223" s="3" t="s">
        <v>29</v>
      </c>
      <c r="T1223" s="5">
        <v>2999.97</v>
      </c>
      <c r="U1223" s="5">
        <v>1293.5899999999999</v>
      </c>
      <c r="V1223" s="5">
        <v>1194.5899999999999</v>
      </c>
      <c r="W1223" s="3">
        <v>511.79</v>
      </c>
    </row>
    <row r="1224" spans="1:23" ht="72.75">
      <c r="A1224" s="3" t="s">
        <v>23</v>
      </c>
      <c r="B1224" s="3" t="s">
        <v>24</v>
      </c>
      <c r="C1224" s="3" t="s">
        <v>35</v>
      </c>
      <c r="D1224" s="3" t="s">
        <v>36</v>
      </c>
      <c r="E1224" s="3" t="s">
        <v>30</v>
      </c>
      <c r="F1224" s="3" t="s">
        <v>53</v>
      </c>
      <c r="G1224" s="3">
        <v>2016</v>
      </c>
      <c r="H1224" s="3" t="str">
        <f>CONCATENATE("64240638730")</f>
        <v>64240638730</v>
      </c>
      <c r="I1224" s="3" t="s">
        <v>31</v>
      </c>
      <c r="J1224" s="3" t="s">
        <v>26</v>
      </c>
      <c r="K1224" s="3" t="str">
        <f t="shared" si="41"/>
        <v/>
      </c>
      <c r="L1224" s="3" t="str">
        <f>CONCATENATE("10 10.1 4a")</f>
        <v>10 10.1 4a</v>
      </c>
      <c r="M1224" s="3" t="str">
        <f>CONCATENATE("MRCSFN74M23H769B")</f>
        <v>MRCSFN74M23H769B</v>
      </c>
      <c r="N1224" s="3" t="s">
        <v>519</v>
      </c>
      <c r="O1224" s="3"/>
      <c r="P1224" s="4">
        <v>42783</v>
      </c>
      <c r="Q1224" s="3" t="s">
        <v>27</v>
      </c>
      <c r="R1224" s="3" t="s">
        <v>28</v>
      </c>
      <c r="S1224" s="3" t="s">
        <v>29</v>
      </c>
      <c r="T1224" s="5">
        <v>1804.84</v>
      </c>
      <c r="U1224" s="3">
        <v>778.25</v>
      </c>
      <c r="V1224" s="3">
        <v>718.69</v>
      </c>
      <c r="W1224" s="3">
        <v>307.89999999999998</v>
      </c>
    </row>
    <row r="1225" spans="1:23" ht="60.75">
      <c r="A1225" s="3" t="s">
        <v>23</v>
      </c>
      <c r="B1225" s="3" t="s">
        <v>24</v>
      </c>
      <c r="C1225" s="3" t="s">
        <v>35</v>
      </c>
      <c r="D1225" s="3" t="s">
        <v>43</v>
      </c>
      <c r="E1225" s="3" t="s">
        <v>34</v>
      </c>
      <c r="F1225" s="3" t="s">
        <v>146</v>
      </c>
      <c r="G1225" s="3">
        <v>2016</v>
      </c>
      <c r="H1225" s="3" t="str">
        <f>CONCATENATE("64240203543")</f>
        <v>64240203543</v>
      </c>
      <c r="I1225" s="3" t="s">
        <v>25</v>
      </c>
      <c r="J1225" s="3" t="s">
        <v>26</v>
      </c>
      <c r="K1225" s="3" t="str">
        <f t="shared" si="41"/>
        <v/>
      </c>
      <c r="L1225" s="3" t="str">
        <f>CONCATENATE("11 11.1 4b")</f>
        <v>11 11.1 4b</v>
      </c>
      <c r="M1225" s="3" t="str">
        <f>CONCATENATE("DNTGCR33S05A944B")</f>
        <v>DNTGCR33S05A944B</v>
      </c>
      <c r="N1225" s="3" t="s">
        <v>1074</v>
      </c>
      <c r="O1225" s="3"/>
      <c r="P1225" s="4">
        <v>42783</v>
      </c>
      <c r="Q1225" s="3" t="s">
        <v>27</v>
      </c>
      <c r="R1225" s="3" t="s">
        <v>28</v>
      </c>
      <c r="S1225" s="3" t="s">
        <v>29</v>
      </c>
      <c r="T1225" s="5">
        <v>5315.2</v>
      </c>
      <c r="U1225" s="5">
        <v>2291.91</v>
      </c>
      <c r="V1225" s="5">
        <v>2116.5100000000002</v>
      </c>
      <c r="W1225" s="3">
        <v>906.78</v>
      </c>
    </row>
    <row r="1226" spans="1:23" ht="60.75">
      <c r="A1226" s="3" t="s">
        <v>23</v>
      </c>
      <c r="B1226" s="3" t="s">
        <v>24</v>
      </c>
      <c r="C1226" s="3" t="s">
        <v>35</v>
      </c>
      <c r="D1226" s="3" t="s">
        <v>43</v>
      </c>
      <c r="E1226" s="3" t="s">
        <v>30</v>
      </c>
      <c r="F1226" s="3" t="s">
        <v>113</v>
      </c>
      <c r="G1226" s="3">
        <v>2016</v>
      </c>
      <c r="H1226" s="3" t="str">
        <f>CONCATENATE("64210997025")</f>
        <v>64210997025</v>
      </c>
      <c r="I1226" s="3" t="s">
        <v>25</v>
      </c>
      <c r="J1226" s="3" t="s">
        <v>26</v>
      </c>
      <c r="K1226" s="3" t="str">
        <f t="shared" si="41"/>
        <v/>
      </c>
      <c r="L1226" s="3" t="str">
        <f>CONCATENATE("13 13.1 4a")</f>
        <v>13 13.1 4a</v>
      </c>
      <c r="M1226" s="3" t="str">
        <f>CONCATENATE("CSLMRZ69B04C745L")</f>
        <v>CSLMRZ69B04C745L</v>
      </c>
      <c r="N1226" s="3" t="s">
        <v>1303</v>
      </c>
      <c r="O1226" s="3"/>
      <c r="P1226" s="4">
        <v>42783</v>
      </c>
      <c r="Q1226" s="3" t="s">
        <v>27</v>
      </c>
      <c r="R1226" s="3" t="s">
        <v>28</v>
      </c>
      <c r="S1226" s="3" t="s">
        <v>29</v>
      </c>
      <c r="T1226" s="3">
        <v>536.67999999999995</v>
      </c>
      <c r="U1226" s="3">
        <v>231.42</v>
      </c>
      <c r="V1226" s="3">
        <v>213.71</v>
      </c>
      <c r="W1226" s="3">
        <v>91.55</v>
      </c>
    </row>
    <row r="1227" spans="1:23" ht="72.75">
      <c r="A1227" s="3" t="s">
        <v>23</v>
      </c>
      <c r="B1227" s="3" t="s">
        <v>24</v>
      </c>
      <c r="C1227" s="3" t="s">
        <v>35</v>
      </c>
      <c r="D1227" s="3" t="s">
        <v>36</v>
      </c>
      <c r="E1227" s="3" t="s">
        <v>30</v>
      </c>
      <c r="F1227" s="3" t="s">
        <v>323</v>
      </c>
      <c r="G1227" s="3">
        <v>2016</v>
      </c>
      <c r="H1227" s="3" t="str">
        <f>CONCATENATE("64240515698")</f>
        <v>64240515698</v>
      </c>
      <c r="I1227" s="3" t="s">
        <v>25</v>
      </c>
      <c r="J1227" s="3" t="s">
        <v>26</v>
      </c>
      <c r="K1227" s="3" t="str">
        <f t="shared" si="41"/>
        <v/>
      </c>
      <c r="L1227" s="3" t="str">
        <f>CONCATENATE("11 11.2 4b")</f>
        <v>11 11.2 4b</v>
      </c>
      <c r="M1227" s="3" t="str">
        <f>CONCATENATE("MRLVCN70B02A462Q")</f>
        <v>MRLVCN70B02A462Q</v>
      </c>
      <c r="N1227" s="3" t="s">
        <v>1304</v>
      </c>
      <c r="O1227" s="3"/>
      <c r="P1227" s="4">
        <v>42783</v>
      </c>
      <c r="Q1227" s="3" t="s">
        <v>27</v>
      </c>
      <c r="R1227" s="3" t="s">
        <v>28</v>
      </c>
      <c r="S1227" s="3" t="s">
        <v>29</v>
      </c>
      <c r="T1227" s="5">
        <v>1761.44</v>
      </c>
      <c r="U1227" s="3">
        <v>759.53</v>
      </c>
      <c r="V1227" s="3">
        <v>701.41</v>
      </c>
      <c r="W1227" s="3">
        <v>300.5</v>
      </c>
    </row>
    <row r="1228" spans="1:23" ht="60.75">
      <c r="A1228" s="3" t="s">
        <v>23</v>
      </c>
      <c r="B1228" s="3" t="s">
        <v>24</v>
      </c>
      <c r="C1228" s="3" t="s">
        <v>35</v>
      </c>
      <c r="D1228" s="3" t="s">
        <v>43</v>
      </c>
      <c r="E1228" s="3" t="s">
        <v>100</v>
      </c>
      <c r="F1228" s="3" t="s">
        <v>101</v>
      </c>
      <c r="G1228" s="3">
        <v>2016</v>
      </c>
      <c r="H1228" s="3" t="str">
        <f>CONCATENATE("64240670600")</f>
        <v>64240670600</v>
      </c>
      <c r="I1228" s="3" t="s">
        <v>25</v>
      </c>
      <c r="J1228" s="3" t="s">
        <v>26</v>
      </c>
      <c r="K1228" s="3" t="str">
        <f t="shared" si="41"/>
        <v/>
      </c>
      <c r="L1228" s="3" t="str">
        <f>CONCATENATE("11 11.1 4b")</f>
        <v>11 11.1 4b</v>
      </c>
      <c r="M1228" s="3" t="str">
        <f>CONCATENATE("CCCCNZ73H53Z130H")</f>
        <v>CCCCNZ73H53Z130H</v>
      </c>
      <c r="N1228" s="3" t="s">
        <v>761</v>
      </c>
      <c r="O1228" s="3"/>
      <c r="P1228" s="4">
        <v>42783</v>
      </c>
      <c r="Q1228" s="3" t="s">
        <v>27</v>
      </c>
      <c r="R1228" s="3" t="s">
        <v>28</v>
      </c>
      <c r="S1228" s="3" t="s">
        <v>29</v>
      </c>
      <c r="T1228" s="5">
        <v>6778.75</v>
      </c>
      <c r="U1228" s="5">
        <v>2923</v>
      </c>
      <c r="V1228" s="5">
        <v>2699.3</v>
      </c>
      <c r="W1228" s="5">
        <v>1156.45</v>
      </c>
    </row>
    <row r="1229" spans="1:23" ht="60.75">
      <c r="A1229" s="3" t="s">
        <v>23</v>
      </c>
      <c r="B1229" s="3" t="s">
        <v>24</v>
      </c>
      <c r="C1229" s="3" t="s">
        <v>35</v>
      </c>
      <c r="D1229" s="3" t="s">
        <v>39</v>
      </c>
      <c r="E1229" s="3" t="s">
        <v>32</v>
      </c>
      <c r="F1229" s="3" t="s">
        <v>215</v>
      </c>
      <c r="G1229" s="3">
        <v>2016</v>
      </c>
      <c r="H1229" s="3" t="str">
        <f>CONCATENATE("64240225710")</f>
        <v>64240225710</v>
      </c>
      <c r="I1229" s="3" t="s">
        <v>25</v>
      </c>
      <c r="J1229" s="3" t="s">
        <v>26</v>
      </c>
      <c r="K1229" s="3" t="str">
        <f t="shared" si="41"/>
        <v/>
      </c>
      <c r="L1229" s="3" t="str">
        <f>CONCATENATE("10 10.1 4a")</f>
        <v>10 10.1 4a</v>
      </c>
      <c r="M1229" s="3" t="str">
        <f>CONCATENATE("PLLNLM56D21A225R")</f>
        <v>PLLNLM56D21A225R</v>
      </c>
      <c r="N1229" s="3" t="s">
        <v>1305</v>
      </c>
      <c r="O1229" s="3"/>
      <c r="P1229" s="4">
        <v>42783</v>
      </c>
      <c r="Q1229" s="3" t="s">
        <v>27</v>
      </c>
      <c r="R1229" s="3" t="s">
        <v>28</v>
      </c>
      <c r="S1229" s="3" t="s">
        <v>29</v>
      </c>
      <c r="T1229" s="3">
        <v>500.4</v>
      </c>
      <c r="U1229" s="3">
        <v>215.77</v>
      </c>
      <c r="V1229" s="3">
        <v>199.26</v>
      </c>
      <c r="W1229" s="3">
        <v>85.37</v>
      </c>
    </row>
    <row r="1230" spans="1:23" ht="60.75">
      <c r="A1230" s="3" t="s">
        <v>23</v>
      </c>
      <c r="B1230" s="3" t="s">
        <v>24</v>
      </c>
      <c r="C1230" s="3" t="s">
        <v>35</v>
      </c>
      <c r="D1230" s="3" t="s">
        <v>36</v>
      </c>
      <c r="E1230" s="3" t="s">
        <v>32</v>
      </c>
      <c r="F1230" s="3" t="s">
        <v>179</v>
      </c>
      <c r="G1230" s="3">
        <v>2016</v>
      </c>
      <c r="H1230" s="3" t="str">
        <f>CONCATENATE("64210448276")</f>
        <v>64210448276</v>
      </c>
      <c r="I1230" s="3" t="s">
        <v>25</v>
      </c>
      <c r="J1230" s="3" t="s">
        <v>26</v>
      </c>
      <c r="K1230" s="3" t="str">
        <f t="shared" si="41"/>
        <v/>
      </c>
      <c r="L1230" s="3" t="str">
        <f>CONCATENATE("13 13.1 4a")</f>
        <v>13 13.1 4a</v>
      </c>
      <c r="M1230" s="3" t="str">
        <f>CONCATENATE("LNRGPR81P23D542E")</f>
        <v>LNRGPR81P23D542E</v>
      </c>
      <c r="N1230" s="3" t="s">
        <v>1306</v>
      </c>
      <c r="O1230" s="3"/>
      <c r="P1230" s="4">
        <v>42783</v>
      </c>
      <c r="Q1230" s="3" t="s">
        <v>27</v>
      </c>
      <c r="R1230" s="3" t="s">
        <v>28</v>
      </c>
      <c r="S1230" s="3" t="s">
        <v>29</v>
      </c>
      <c r="T1230" s="5">
        <v>1164.5899999999999</v>
      </c>
      <c r="U1230" s="3">
        <v>502.17</v>
      </c>
      <c r="V1230" s="3">
        <v>463.74</v>
      </c>
      <c r="W1230" s="3">
        <v>198.68</v>
      </c>
    </row>
    <row r="1231" spans="1:23" ht="60.75">
      <c r="A1231" s="3" t="s">
        <v>23</v>
      </c>
      <c r="B1231" s="3" t="s">
        <v>24</v>
      </c>
      <c r="C1231" s="3" t="s">
        <v>35</v>
      </c>
      <c r="D1231" s="3" t="s">
        <v>36</v>
      </c>
      <c r="E1231" s="3" t="s">
        <v>59</v>
      </c>
      <c r="F1231" s="3" t="s">
        <v>62</v>
      </c>
      <c r="G1231" s="3">
        <v>2016</v>
      </c>
      <c r="H1231" s="3" t="str">
        <f>CONCATENATE("64240547832")</f>
        <v>64240547832</v>
      </c>
      <c r="I1231" s="3" t="s">
        <v>25</v>
      </c>
      <c r="J1231" s="3" t="s">
        <v>26</v>
      </c>
      <c r="K1231" s="3" t="str">
        <f t="shared" si="41"/>
        <v/>
      </c>
      <c r="L1231" s="3" t="str">
        <f>CONCATENATE("10 10.1 4b")</f>
        <v>10 10.1 4b</v>
      </c>
      <c r="M1231" s="3" t="str">
        <f>CONCATENATE("PRZCLL52B23H321W")</f>
        <v>PRZCLL52B23H321W</v>
      </c>
      <c r="N1231" s="3" t="s">
        <v>1307</v>
      </c>
      <c r="O1231" s="3"/>
      <c r="P1231" s="4">
        <v>42783</v>
      </c>
      <c r="Q1231" s="3" t="s">
        <v>27</v>
      </c>
      <c r="R1231" s="3" t="s">
        <v>28</v>
      </c>
      <c r="S1231" s="3" t="s">
        <v>29</v>
      </c>
      <c r="T1231" s="5">
        <v>2414.41</v>
      </c>
      <c r="U1231" s="5">
        <v>1041.0899999999999</v>
      </c>
      <c r="V1231" s="3">
        <v>961.42</v>
      </c>
      <c r="W1231" s="3">
        <v>411.9</v>
      </c>
    </row>
    <row r="1232" spans="1:23" ht="60.75">
      <c r="A1232" s="3" t="s">
        <v>23</v>
      </c>
      <c r="B1232" s="3" t="s">
        <v>24</v>
      </c>
      <c r="C1232" s="3" t="s">
        <v>35</v>
      </c>
      <c r="D1232" s="3" t="s">
        <v>36</v>
      </c>
      <c r="E1232" s="3" t="s">
        <v>42</v>
      </c>
      <c r="F1232" s="3" t="s">
        <v>42</v>
      </c>
      <c r="G1232" s="3">
        <v>2016</v>
      </c>
      <c r="H1232" s="3" t="str">
        <f>CONCATENATE("64240087433")</f>
        <v>64240087433</v>
      </c>
      <c r="I1232" s="3" t="s">
        <v>25</v>
      </c>
      <c r="J1232" s="3" t="s">
        <v>26</v>
      </c>
      <c r="K1232" s="3" t="str">
        <f t="shared" si="41"/>
        <v/>
      </c>
      <c r="L1232" s="3" t="str">
        <f>CONCATENATE("11 11.2 4b")</f>
        <v>11 11.2 4b</v>
      </c>
      <c r="M1232" s="3" t="str">
        <f>CONCATENATE("SLVTMS53D28C321N")</f>
        <v>SLVTMS53D28C321N</v>
      </c>
      <c r="N1232" s="3" t="s">
        <v>1308</v>
      </c>
      <c r="O1232" s="3"/>
      <c r="P1232" s="4">
        <v>42783</v>
      </c>
      <c r="Q1232" s="3" t="s">
        <v>27</v>
      </c>
      <c r="R1232" s="3" t="s">
        <v>28</v>
      </c>
      <c r="S1232" s="3" t="s">
        <v>29</v>
      </c>
      <c r="T1232" s="5">
        <v>3060.36</v>
      </c>
      <c r="U1232" s="5">
        <v>1319.63</v>
      </c>
      <c r="V1232" s="5">
        <v>1218.6400000000001</v>
      </c>
      <c r="W1232" s="3">
        <v>522.09</v>
      </c>
    </row>
    <row r="1233" spans="1:23" ht="60.75">
      <c r="A1233" s="3" t="s">
        <v>23</v>
      </c>
      <c r="B1233" s="3" t="s">
        <v>24</v>
      </c>
      <c r="C1233" s="3" t="s">
        <v>35</v>
      </c>
      <c r="D1233" s="3" t="s">
        <v>39</v>
      </c>
      <c r="E1233" s="3" t="s">
        <v>32</v>
      </c>
      <c r="F1233" s="3" t="s">
        <v>69</v>
      </c>
      <c r="G1233" s="3">
        <v>2016</v>
      </c>
      <c r="H1233" s="3" t="str">
        <f>CONCATENATE("64240502142")</f>
        <v>64240502142</v>
      </c>
      <c r="I1233" s="3" t="s">
        <v>25</v>
      </c>
      <c r="J1233" s="3" t="s">
        <v>26</v>
      </c>
      <c r="K1233" s="3" t="str">
        <f t="shared" si="41"/>
        <v/>
      </c>
      <c r="L1233" s="3" t="str">
        <f>CONCATENATE("11 11.2 4b")</f>
        <v>11 11.2 4b</v>
      </c>
      <c r="M1233" s="3" t="str">
        <f>CONCATENATE("PLLFNC54E24D451V")</f>
        <v>PLLFNC54E24D451V</v>
      </c>
      <c r="N1233" s="3" t="s">
        <v>376</v>
      </c>
      <c r="O1233" s="3"/>
      <c r="P1233" s="4">
        <v>42783</v>
      </c>
      <c r="Q1233" s="3" t="s">
        <v>27</v>
      </c>
      <c r="R1233" s="3" t="s">
        <v>28</v>
      </c>
      <c r="S1233" s="3" t="s">
        <v>29</v>
      </c>
      <c r="T1233" s="5">
        <v>8713.83</v>
      </c>
      <c r="U1233" s="5">
        <v>3757.4</v>
      </c>
      <c r="V1233" s="5">
        <v>3469.85</v>
      </c>
      <c r="W1233" s="5">
        <v>1486.58</v>
      </c>
    </row>
    <row r="1234" spans="1:23" ht="60.75">
      <c r="A1234" s="3" t="s">
        <v>23</v>
      </c>
      <c r="B1234" s="3" t="s">
        <v>24</v>
      </c>
      <c r="C1234" s="3" t="s">
        <v>35</v>
      </c>
      <c r="D1234" s="3" t="s">
        <v>43</v>
      </c>
      <c r="E1234" s="3" t="s">
        <v>32</v>
      </c>
      <c r="F1234" s="3" t="s">
        <v>78</v>
      </c>
      <c r="G1234" s="3">
        <v>2016</v>
      </c>
      <c r="H1234" s="3" t="str">
        <f>CONCATENATE("64210555773")</f>
        <v>64210555773</v>
      </c>
      <c r="I1234" s="3" t="s">
        <v>25</v>
      </c>
      <c r="J1234" s="3" t="s">
        <v>26</v>
      </c>
      <c r="K1234" s="3" t="str">
        <f t="shared" si="41"/>
        <v/>
      </c>
      <c r="L1234" s="3" t="str">
        <f>CONCATENATE("13 13.1 4a")</f>
        <v>13 13.1 4a</v>
      </c>
      <c r="M1234" s="3" t="str">
        <f>CONCATENATE("FDDSML79P08L500N")</f>
        <v>FDDSML79P08L500N</v>
      </c>
      <c r="N1234" s="3" t="s">
        <v>476</v>
      </c>
      <c r="O1234" s="3"/>
      <c r="P1234" s="4">
        <v>42783</v>
      </c>
      <c r="Q1234" s="3" t="s">
        <v>27</v>
      </c>
      <c r="R1234" s="3" t="s">
        <v>28</v>
      </c>
      <c r="S1234" s="3" t="s">
        <v>29</v>
      </c>
      <c r="T1234" s="5">
        <v>1467.79</v>
      </c>
      <c r="U1234" s="3">
        <v>632.91</v>
      </c>
      <c r="V1234" s="3">
        <v>584.47</v>
      </c>
      <c r="W1234" s="3">
        <v>250.41</v>
      </c>
    </row>
    <row r="1235" spans="1:23" ht="60.75">
      <c r="A1235" s="3" t="s">
        <v>23</v>
      </c>
      <c r="B1235" s="3" t="s">
        <v>24</v>
      </c>
      <c r="C1235" s="3" t="s">
        <v>35</v>
      </c>
      <c r="D1235" s="3" t="s">
        <v>36</v>
      </c>
      <c r="E1235" s="3" t="s">
        <v>42</v>
      </c>
      <c r="F1235" s="3" t="s">
        <v>42</v>
      </c>
      <c r="G1235" s="3">
        <v>2016</v>
      </c>
      <c r="H1235" s="3" t="str">
        <f>CONCATENATE("64240304515")</f>
        <v>64240304515</v>
      </c>
      <c r="I1235" s="3" t="s">
        <v>25</v>
      </c>
      <c r="J1235" s="3" t="s">
        <v>26</v>
      </c>
      <c r="K1235" s="3" t="str">
        <f t="shared" si="41"/>
        <v/>
      </c>
      <c r="L1235" s="3" t="str">
        <f>CONCATENATE("11 11.2 4b")</f>
        <v>11 11.2 4b</v>
      </c>
      <c r="M1235" s="3" t="str">
        <f>CONCATENATE("NCCRNN81C14H769H")</f>
        <v>NCCRNN81C14H769H</v>
      </c>
      <c r="N1235" s="3" t="s">
        <v>1309</v>
      </c>
      <c r="O1235" s="3"/>
      <c r="P1235" s="4">
        <v>42783</v>
      </c>
      <c r="Q1235" s="3" t="s">
        <v>27</v>
      </c>
      <c r="R1235" s="3" t="s">
        <v>28</v>
      </c>
      <c r="S1235" s="3" t="s">
        <v>29</v>
      </c>
      <c r="T1235" s="5">
        <v>11753.07</v>
      </c>
      <c r="U1235" s="5">
        <v>5067.92</v>
      </c>
      <c r="V1235" s="5">
        <v>4680.07</v>
      </c>
      <c r="W1235" s="5">
        <v>2005.08</v>
      </c>
    </row>
    <row r="1236" spans="1:23" ht="36.75">
      <c r="A1236" s="3" t="s">
        <v>23</v>
      </c>
      <c r="B1236" s="3" t="s">
        <v>24</v>
      </c>
      <c r="C1236" s="3" t="s">
        <v>35</v>
      </c>
      <c r="D1236" s="3" t="s">
        <v>36</v>
      </c>
      <c r="E1236" s="3" t="s">
        <v>59</v>
      </c>
      <c r="F1236" s="3" t="s">
        <v>62</v>
      </c>
      <c r="G1236" s="3">
        <v>2016</v>
      </c>
      <c r="H1236" s="3" t="str">
        <f>CONCATENATE("64240213997")</f>
        <v>64240213997</v>
      </c>
      <c r="I1236" s="3" t="s">
        <v>25</v>
      </c>
      <c r="J1236" s="3" t="s">
        <v>26</v>
      </c>
      <c r="K1236" s="3" t="str">
        <f t="shared" si="41"/>
        <v/>
      </c>
      <c r="L1236" s="3" t="str">
        <f>CONCATENATE("11 11.2 4b")</f>
        <v>11 11.2 4b</v>
      </c>
      <c r="M1236" s="3" t="str">
        <f>CONCATENATE("02026630448")</f>
        <v>02026630448</v>
      </c>
      <c r="N1236" s="3" t="s">
        <v>1310</v>
      </c>
      <c r="O1236" s="3"/>
      <c r="P1236" s="4">
        <v>42783</v>
      </c>
      <c r="Q1236" s="3" t="s">
        <v>27</v>
      </c>
      <c r="R1236" s="3" t="s">
        <v>28</v>
      </c>
      <c r="S1236" s="3" t="s">
        <v>29</v>
      </c>
      <c r="T1236" s="5">
        <v>7191.45</v>
      </c>
      <c r="U1236" s="5">
        <v>3100.95</v>
      </c>
      <c r="V1236" s="5">
        <v>2863.64</v>
      </c>
      <c r="W1236" s="5">
        <v>1226.8599999999999</v>
      </c>
    </row>
    <row r="1237" spans="1:23" ht="60.75">
      <c r="A1237" s="3" t="s">
        <v>23</v>
      </c>
      <c r="B1237" s="3" t="s">
        <v>24</v>
      </c>
      <c r="C1237" s="3" t="s">
        <v>35</v>
      </c>
      <c r="D1237" s="3" t="s">
        <v>43</v>
      </c>
      <c r="E1237" s="3" t="s">
        <v>34</v>
      </c>
      <c r="F1237" s="3" t="s">
        <v>146</v>
      </c>
      <c r="G1237" s="3">
        <v>2016</v>
      </c>
      <c r="H1237" s="3" t="str">
        <f>CONCATENATE("64240343299")</f>
        <v>64240343299</v>
      </c>
      <c r="I1237" s="3" t="s">
        <v>25</v>
      </c>
      <c r="J1237" s="3" t="s">
        <v>26</v>
      </c>
      <c r="K1237" s="3" t="str">
        <f t="shared" si="41"/>
        <v/>
      </c>
      <c r="L1237" s="3" t="str">
        <f>CONCATENATE("11 11.2 4b")</f>
        <v>11 11.2 4b</v>
      </c>
      <c r="M1237" s="3" t="str">
        <f>CONCATENATE("CSTCMN35R22F205Q")</f>
        <v>CSTCMN35R22F205Q</v>
      </c>
      <c r="N1237" s="3" t="s">
        <v>1311</v>
      </c>
      <c r="O1237" s="3"/>
      <c r="P1237" s="4">
        <v>42783</v>
      </c>
      <c r="Q1237" s="3" t="s">
        <v>27</v>
      </c>
      <c r="R1237" s="3" t="s">
        <v>28</v>
      </c>
      <c r="S1237" s="3" t="s">
        <v>29</v>
      </c>
      <c r="T1237" s="5">
        <v>3933.67</v>
      </c>
      <c r="U1237" s="5">
        <v>1696.2</v>
      </c>
      <c r="V1237" s="5">
        <v>1566.39</v>
      </c>
      <c r="W1237" s="3">
        <v>671.08</v>
      </c>
    </row>
    <row r="1238" spans="1:23" ht="60.75">
      <c r="A1238" s="3" t="s">
        <v>23</v>
      </c>
      <c r="B1238" s="3" t="s">
        <v>24</v>
      </c>
      <c r="C1238" s="3" t="s">
        <v>35</v>
      </c>
      <c r="D1238" s="3" t="s">
        <v>43</v>
      </c>
      <c r="E1238" s="3" t="s">
        <v>30</v>
      </c>
      <c r="F1238" s="3" t="s">
        <v>131</v>
      </c>
      <c r="G1238" s="3">
        <v>2016</v>
      </c>
      <c r="H1238" s="3" t="str">
        <f>CONCATENATE("64210943243")</f>
        <v>64210943243</v>
      </c>
      <c r="I1238" s="3" t="s">
        <v>25</v>
      </c>
      <c r="J1238" s="3" t="s">
        <v>26</v>
      </c>
      <c r="K1238" s="3" t="str">
        <f t="shared" si="41"/>
        <v/>
      </c>
      <c r="L1238" s="3" t="str">
        <f>CONCATENATE("13 13.1 4a")</f>
        <v>13 13.1 4a</v>
      </c>
      <c r="M1238" s="3" t="str">
        <f>CONCATENATE("CCCDNL71B27D749Y")</f>
        <v>CCCDNL71B27D749Y</v>
      </c>
      <c r="N1238" s="3" t="s">
        <v>1312</v>
      </c>
      <c r="O1238" s="3"/>
      <c r="P1238" s="4">
        <v>42783</v>
      </c>
      <c r="Q1238" s="3" t="s">
        <v>27</v>
      </c>
      <c r="R1238" s="3" t="s">
        <v>28</v>
      </c>
      <c r="S1238" s="3" t="s">
        <v>29</v>
      </c>
      <c r="T1238" s="5">
        <v>1437</v>
      </c>
      <c r="U1238" s="3">
        <v>619.63</v>
      </c>
      <c r="V1238" s="3">
        <v>572.21</v>
      </c>
      <c r="W1238" s="3">
        <v>245.16</v>
      </c>
    </row>
    <row r="1239" spans="1:23" ht="60.75">
      <c r="A1239" s="3" t="s">
        <v>23</v>
      </c>
      <c r="B1239" s="3" t="s">
        <v>24</v>
      </c>
      <c r="C1239" s="3" t="s">
        <v>35</v>
      </c>
      <c r="D1239" s="3" t="s">
        <v>43</v>
      </c>
      <c r="E1239" s="3" t="s">
        <v>49</v>
      </c>
      <c r="F1239" s="3" t="s">
        <v>276</v>
      </c>
      <c r="G1239" s="3">
        <v>2016</v>
      </c>
      <c r="H1239" s="3" t="str">
        <f>CONCATENATE("64240805529")</f>
        <v>64240805529</v>
      </c>
      <c r="I1239" s="3" t="s">
        <v>25</v>
      </c>
      <c r="J1239" s="3" t="s">
        <v>26</v>
      </c>
      <c r="K1239" s="3" t="str">
        <f t="shared" si="41"/>
        <v/>
      </c>
      <c r="L1239" s="3" t="str">
        <f>CONCATENATE("11 11.1 4b")</f>
        <v>11 11.1 4b</v>
      </c>
      <c r="M1239" s="3" t="str">
        <f>CONCATENATE("PSCLCU86D10D488F")</f>
        <v>PSCLCU86D10D488F</v>
      </c>
      <c r="N1239" s="3" t="s">
        <v>1313</v>
      </c>
      <c r="O1239" s="3"/>
      <c r="P1239" s="4">
        <v>42783</v>
      </c>
      <c r="Q1239" s="3" t="s">
        <v>27</v>
      </c>
      <c r="R1239" s="3" t="s">
        <v>28</v>
      </c>
      <c r="S1239" s="3" t="s">
        <v>29</v>
      </c>
      <c r="T1239" s="5">
        <v>1440.42</v>
      </c>
      <c r="U1239" s="3">
        <v>621.11</v>
      </c>
      <c r="V1239" s="3">
        <v>573.58000000000004</v>
      </c>
      <c r="W1239" s="3">
        <v>245.73</v>
      </c>
    </row>
    <row r="1240" spans="1:23" ht="36.75">
      <c r="A1240" s="3" t="s">
        <v>23</v>
      </c>
      <c r="B1240" s="3" t="s">
        <v>24</v>
      </c>
      <c r="C1240" s="3" t="s">
        <v>35</v>
      </c>
      <c r="D1240" s="3" t="s">
        <v>48</v>
      </c>
      <c r="E1240" s="3" t="s">
        <v>30</v>
      </c>
      <c r="F1240" s="3" t="s">
        <v>111</v>
      </c>
      <c r="G1240" s="3">
        <v>2016</v>
      </c>
      <c r="H1240" s="3" t="str">
        <f>CONCATENATE("64240818241")</f>
        <v>64240818241</v>
      </c>
      <c r="I1240" s="3" t="s">
        <v>25</v>
      </c>
      <c r="J1240" s="3" t="s">
        <v>26</v>
      </c>
      <c r="K1240" s="3" t="str">
        <f t="shared" si="41"/>
        <v/>
      </c>
      <c r="L1240" s="3" t="str">
        <f>CONCATENATE("11 11.2 4b")</f>
        <v>11 11.2 4b</v>
      </c>
      <c r="M1240" s="3" t="str">
        <f>CONCATENATE("01822020432")</f>
        <v>01822020432</v>
      </c>
      <c r="N1240" s="3" t="s">
        <v>1314</v>
      </c>
      <c r="O1240" s="3"/>
      <c r="P1240" s="4">
        <v>42783</v>
      </c>
      <c r="Q1240" s="3" t="s">
        <v>27</v>
      </c>
      <c r="R1240" s="3" t="s">
        <v>28</v>
      </c>
      <c r="S1240" s="3" t="s">
        <v>29</v>
      </c>
      <c r="T1240" s="5">
        <v>1773.83</v>
      </c>
      <c r="U1240" s="3">
        <v>764.88</v>
      </c>
      <c r="V1240" s="3">
        <v>706.34</v>
      </c>
      <c r="W1240" s="3">
        <v>302.61</v>
      </c>
    </row>
    <row r="1241" spans="1:23" ht="60.75">
      <c r="A1241" s="3" t="s">
        <v>23</v>
      </c>
      <c r="B1241" s="3" t="s">
        <v>24</v>
      </c>
      <c r="C1241" s="3" t="s">
        <v>35</v>
      </c>
      <c r="D1241" s="3" t="s">
        <v>43</v>
      </c>
      <c r="E1241" s="3" t="s">
        <v>30</v>
      </c>
      <c r="F1241" s="3" t="s">
        <v>104</v>
      </c>
      <c r="G1241" s="3">
        <v>2016</v>
      </c>
      <c r="H1241" s="3" t="str">
        <f>CONCATENATE("64240245312")</f>
        <v>64240245312</v>
      </c>
      <c r="I1241" s="3" t="s">
        <v>25</v>
      </c>
      <c r="J1241" s="3" t="s">
        <v>26</v>
      </c>
      <c r="K1241" s="3" t="str">
        <f t="shared" si="41"/>
        <v/>
      </c>
      <c r="L1241" s="3" t="str">
        <f>CONCATENATE("11 11.2 4b")</f>
        <v>11 11.2 4b</v>
      </c>
      <c r="M1241" s="3" t="str">
        <f>CONCATENATE("DDALTT57L63F346T")</f>
        <v>DDALTT57L63F346T</v>
      </c>
      <c r="N1241" s="3" t="s">
        <v>1315</v>
      </c>
      <c r="O1241" s="3"/>
      <c r="P1241" s="4">
        <v>42783</v>
      </c>
      <c r="Q1241" s="3" t="s">
        <v>27</v>
      </c>
      <c r="R1241" s="3" t="s">
        <v>28</v>
      </c>
      <c r="S1241" s="3" t="s">
        <v>29</v>
      </c>
      <c r="T1241" s="5">
        <v>5728.13</v>
      </c>
      <c r="U1241" s="5">
        <v>2469.9699999999998</v>
      </c>
      <c r="V1241" s="5">
        <v>2280.94</v>
      </c>
      <c r="W1241" s="3">
        <v>977.22</v>
      </c>
    </row>
    <row r="1242" spans="1:23" ht="72.75">
      <c r="A1242" s="3" t="s">
        <v>23</v>
      </c>
      <c r="B1242" s="3" t="s">
        <v>24</v>
      </c>
      <c r="C1242" s="3" t="s">
        <v>35</v>
      </c>
      <c r="D1242" s="3" t="s">
        <v>48</v>
      </c>
      <c r="E1242" s="3" t="s">
        <v>49</v>
      </c>
      <c r="F1242" s="3" t="s">
        <v>74</v>
      </c>
      <c r="G1242" s="3">
        <v>2016</v>
      </c>
      <c r="H1242" s="3" t="str">
        <f>CONCATENATE("64210786220")</f>
        <v>64210786220</v>
      </c>
      <c r="I1242" s="3" t="s">
        <v>25</v>
      </c>
      <c r="J1242" s="3" t="s">
        <v>26</v>
      </c>
      <c r="K1242" s="3" t="str">
        <f t="shared" si="41"/>
        <v/>
      </c>
      <c r="L1242" s="3" t="str">
        <f>CONCATENATE("13 13.1 4a")</f>
        <v>13 13.1 4a</v>
      </c>
      <c r="M1242" s="3" t="str">
        <f>CONCATENATE("NTLRRT80A14B474N")</f>
        <v>NTLRRT80A14B474N</v>
      </c>
      <c r="N1242" s="3" t="s">
        <v>345</v>
      </c>
      <c r="O1242" s="3"/>
      <c r="P1242" s="4">
        <v>42783</v>
      </c>
      <c r="Q1242" s="3" t="s">
        <v>27</v>
      </c>
      <c r="R1242" s="3" t="s">
        <v>28</v>
      </c>
      <c r="S1242" s="3" t="s">
        <v>29</v>
      </c>
      <c r="T1242" s="5">
        <v>4590</v>
      </c>
      <c r="U1242" s="5">
        <v>1979.21</v>
      </c>
      <c r="V1242" s="5">
        <v>1827.74</v>
      </c>
      <c r="W1242" s="3">
        <v>783.05</v>
      </c>
    </row>
    <row r="1243" spans="1:23" ht="60.75">
      <c r="A1243" s="3" t="s">
        <v>23</v>
      </c>
      <c r="B1243" s="3" t="s">
        <v>24</v>
      </c>
      <c r="C1243" s="3" t="s">
        <v>35</v>
      </c>
      <c r="D1243" s="3" t="s">
        <v>43</v>
      </c>
      <c r="E1243" s="3" t="s">
        <v>34</v>
      </c>
      <c r="F1243" s="3" t="s">
        <v>146</v>
      </c>
      <c r="G1243" s="3">
        <v>2016</v>
      </c>
      <c r="H1243" s="3" t="str">
        <f>CONCATENATE("64240849576")</f>
        <v>64240849576</v>
      </c>
      <c r="I1243" s="3" t="s">
        <v>25</v>
      </c>
      <c r="J1243" s="3" t="s">
        <v>26</v>
      </c>
      <c r="K1243" s="3" t="str">
        <f t="shared" si="41"/>
        <v/>
      </c>
      <c r="L1243" s="3" t="str">
        <f>CONCATENATE("11 11.2 4b")</f>
        <v>11 11.2 4b</v>
      </c>
      <c r="M1243" s="3" t="str">
        <f>CONCATENATE("FRLSFN76R28G479R")</f>
        <v>FRLSFN76R28G479R</v>
      </c>
      <c r="N1243" s="3" t="s">
        <v>1316</v>
      </c>
      <c r="O1243" s="3"/>
      <c r="P1243" s="4">
        <v>42783</v>
      </c>
      <c r="Q1243" s="3" t="s">
        <v>27</v>
      </c>
      <c r="R1243" s="3" t="s">
        <v>28</v>
      </c>
      <c r="S1243" s="3" t="s">
        <v>29</v>
      </c>
      <c r="T1243" s="5">
        <v>5832.02</v>
      </c>
      <c r="U1243" s="5">
        <v>2514.77</v>
      </c>
      <c r="V1243" s="5">
        <v>2322.31</v>
      </c>
      <c r="W1243" s="3">
        <v>994.94</v>
      </c>
    </row>
    <row r="1244" spans="1:23" ht="72.75">
      <c r="A1244" s="3" t="s">
        <v>23</v>
      </c>
      <c r="B1244" s="3" t="s">
        <v>24</v>
      </c>
      <c r="C1244" s="3" t="s">
        <v>35</v>
      </c>
      <c r="D1244" s="3" t="s">
        <v>36</v>
      </c>
      <c r="E1244" s="3" t="s">
        <v>30</v>
      </c>
      <c r="F1244" s="3" t="s">
        <v>86</v>
      </c>
      <c r="G1244" s="3">
        <v>2016</v>
      </c>
      <c r="H1244" s="3" t="str">
        <f>CONCATENATE("64210946527")</f>
        <v>64210946527</v>
      </c>
      <c r="I1244" s="3" t="s">
        <v>25</v>
      </c>
      <c r="J1244" s="3" t="s">
        <v>26</v>
      </c>
      <c r="K1244" s="3" t="str">
        <f t="shared" si="41"/>
        <v/>
      </c>
      <c r="L1244" s="3" t="str">
        <f>CONCATENATE("13 13.1 4a")</f>
        <v>13 13.1 4a</v>
      </c>
      <c r="M1244" s="3" t="str">
        <f>CONCATENATE("TCCQNT41B28G289R")</f>
        <v>TCCQNT41B28G289R</v>
      </c>
      <c r="N1244" s="3" t="s">
        <v>1317</v>
      </c>
      <c r="O1244" s="3"/>
      <c r="P1244" s="4">
        <v>42783</v>
      </c>
      <c r="Q1244" s="3" t="s">
        <v>27</v>
      </c>
      <c r="R1244" s="3" t="s">
        <v>28</v>
      </c>
      <c r="S1244" s="3" t="s">
        <v>29</v>
      </c>
      <c r="T1244" s="3">
        <v>710.4</v>
      </c>
      <c r="U1244" s="3">
        <v>306.32</v>
      </c>
      <c r="V1244" s="3">
        <v>282.88</v>
      </c>
      <c r="W1244" s="3">
        <v>121.2</v>
      </c>
    </row>
    <row r="1245" spans="1:23" ht="60.75">
      <c r="A1245" s="3" t="s">
        <v>23</v>
      </c>
      <c r="B1245" s="3" t="s">
        <v>24</v>
      </c>
      <c r="C1245" s="3" t="s">
        <v>35</v>
      </c>
      <c r="D1245" s="3" t="s">
        <v>48</v>
      </c>
      <c r="E1245" s="3" t="s">
        <v>30</v>
      </c>
      <c r="F1245" s="3" t="s">
        <v>57</v>
      </c>
      <c r="G1245" s="3">
        <v>2016</v>
      </c>
      <c r="H1245" s="3" t="str">
        <f>CONCATENATE("64240659058")</f>
        <v>64240659058</v>
      </c>
      <c r="I1245" s="3" t="s">
        <v>25</v>
      </c>
      <c r="J1245" s="3" t="s">
        <v>26</v>
      </c>
      <c r="K1245" s="3" t="str">
        <f t="shared" si="41"/>
        <v/>
      </c>
      <c r="L1245" s="3" t="str">
        <f>CONCATENATE("11 11.2 4b")</f>
        <v>11 11.2 4b</v>
      </c>
      <c r="M1245" s="3" t="str">
        <f>CONCATENATE("RZZRTI35S49L191I")</f>
        <v>RZZRTI35S49L191I</v>
      </c>
      <c r="N1245" s="3" t="s">
        <v>1318</v>
      </c>
      <c r="O1245" s="3"/>
      <c r="P1245" s="4">
        <v>42783</v>
      </c>
      <c r="Q1245" s="3" t="s">
        <v>27</v>
      </c>
      <c r="R1245" s="3" t="s">
        <v>28</v>
      </c>
      <c r="S1245" s="3" t="s">
        <v>29</v>
      </c>
      <c r="T1245" s="3">
        <v>391.79</v>
      </c>
      <c r="U1245" s="3">
        <v>168.94</v>
      </c>
      <c r="V1245" s="3">
        <v>156.01</v>
      </c>
      <c r="W1245" s="3">
        <v>66.84</v>
      </c>
    </row>
    <row r="1246" spans="1:23" ht="60.75">
      <c r="A1246" s="3" t="s">
        <v>23</v>
      </c>
      <c r="B1246" s="3" t="s">
        <v>24</v>
      </c>
      <c r="C1246" s="3" t="s">
        <v>35</v>
      </c>
      <c r="D1246" s="3" t="s">
        <v>39</v>
      </c>
      <c r="E1246" s="3" t="s">
        <v>30</v>
      </c>
      <c r="F1246" s="3" t="s">
        <v>196</v>
      </c>
      <c r="G1246" s="3">
        <v>2016</v>
      </c>
      <c r="H1246" s="3" t="str">
        <f>CONCATENATE("64240678462")</f>
        <v>64240678462</v>
      </c>
      <c r="I1246" s="3" t="s">
        <v>25</v>
      </c>
      <c r="J1246" s="3" t="s">
        <v>26</v>
      </c>
      <c r="K1246" s="3" t="str">
        <f t="shared" si="41"/>
        <v/>
      </c>
      <c r="L1246" s="3" t="str">
        <f>CONCATENATE("11 11.1 4b")</f>
        <v>11 11.1 4b</v>
      </c>
      <c r="M1246" s="3" t="str">
        <f>CONCATENATE("BRCGLN45D20F381L")</f>
        <v>BRCGLN45D20F381L</v>
      </c>
      <c r="N1246" s="3" t="s">
        <v>1319</v>
      </c>
      <c r="O1246" s="3"/>
      <c r="P1246" s="4">
        <v>42783</v>
      </c>
      <c r="Q1246" s="3" t="s">
        <v>27</v>
      </c>
      <c r="R1246" s="3" t="s">
        <v>28</v>
      </c>
      <c r="S1246" s="3" t="s">
        <v>29</v>
      </c>
      <c r="T1246" s="5">
        <v>1323.44</v>
      </c>
      <c r="U1246" s="3">
        <v>570.66999999999996</v>
      </c>
      <c r="V1246" s="3">
        <v>526.99</v>
      </c>
      <c r="W1246" s="3">
        <v>225.78</v>
      </c>
    </row>
    <row r="1247" spans="1:23" ht="60.75">
      <c r="A1247" s="3" t="s">
        <v>23</v>
      </c>
      <c r="B1247" s="3" t="s">
        <v>24</v>
      </c>
      <c r="C1247" s="3" t="s">
        <v>35</v>
      </c>
      <c r="D1247" s="3" t="s">
        <v>36</v>
      </c>
      <c r="E1247" s="3" t="s">
        <v>42</v>
      </c>
      <c r="F1247" s="3" t="s">
        <v>42</v>
      </c>
      <c r="G1247" s="3">
        <v>2016</v>
      </c>
      <c r="H1247" s="3" t="str">
        <f>CONCATENATE("64240116398")</f>
        <v>64240116398</v>
      </c>
      <c r="I1247" s="3" t="s">
        <v>25</v>
      </c>
      <c r="J1247" s="3" t="s">
        <v>26</v>
      </c>
      <c r="K1247" s="3" t="str">
        <f t="shared" si="41"/>
        <v/>
      </c>
      <c r="L1247" s="3" t="str">
        <f>CONCATENATE("11 11.1 4b")</f>
        <v>11 11.1 4b</v>
      </c>
      <c r="M1247" s="3" t="str">
        <f>CONCATENATE("CMLFLL56L43E207X")</f>
        <v>CMLFLL56L43E207X</v>
      </c>
      <c r="N1247" s="3" t="s">
        <v>1320</v>
      </c>
      <c r="O1247" s="3"/>
      <c r="P1247" s="4">
        <v>42783</v>
      </c>
      <c r="Q1247" s="3" t="s">
        <v>27</v>
      </c>
      <c r="R1247" s="3" t="s">
        <v>28</v>
      </c>
      <c r="S1247" s="3" t="s">
        <v>29</v>
      </c>
      <c r="T1247" s="5">
        <v>1179.99</v>
      </c>
      <c r="U1247" s="3">
        <v>508.81</v>
      </c>
      <c r="V1247" s="3">
        <v>469.87</v>
      </c>
      <c r="W1247" s="3">
        <v>201.31</v>
      </c>
    </row>
    <row r="1248" spans="1:23" ht="60.75">
      <c r="A1248" s="3" t="s">
        <v>23</v>
      </c>
      <c r="B1248" s="3" t="s">
        <v>24</v>
      </c>
      <c r="C1248" s="3" t="s">
        <v>35</v>
      </c>
      <c r="D1248" s="3" t="s">
        <v>43</v>
      </c>
      <c r="E1248" s="3" t="s">
        <v>34</v>
      </c>
      <c r="F1248" s="3" t="s">
        <v>146</v>
      </c>
      <c r="G1248" s="3">
        <v>2016</v>
      </c>
      <c r="H1248" s="3" t="str">
        <f>CONCATENATE("64240090809")</f>
        <v>64240090809</v>
      </c>
      <c r="I1248" s="3" t="s">
        <v>25</v>
      </c>
      <c r="J1248" s="3" t="s">
        <v>26</v>
      </c>
      <c r="K1248" s="3" t="str">
        <f t="shared" si="41"/>
        <v/>
      </c>
      <c r="L1248" s="3" t="str">
        <f>CONCATENATE("11 11.2 4b")</f>
        <v>11 11.2 4b</v>
      </c>
      <c r="M1248" s="3" t="str">
        <f>CONCATENATE("GSPNTN31C16G089L")</f>
        <v>GSPNTN31C16G089L</v>
      </c>
      <c r="N1248" s="3" t="s">
        <v>1321</v>
      </c>
      <c r="O1248" s="3"/>
      <c r="P1248" s="4">
        <v>42783</v>
      </c>
      <c r="Q1248" s="3" t="s">
        <v>27</v>
      </c>
      <c r="R1248" s="3" t="s">
        <v>28</v>
      </c>
      <c r="S1248" s="3" t="s">
        <v>29</v>
      </c>
      <c r="T1248" s="5">
        <v>7365.8</v>
      </c>
      <c r="U1248" s="5">
        <v>3176.13</v>
      </c>
      <c r="V1248" s="5">
        <v>2933.06</v>
      </c>
      <c r="W1248" s="5">
        <v>1256.6099999999999</v>
      </c>
    </row>
    <row r="1249" spans="1:23" ht="72.75">
      <c r="A1249" s="3" t="s">
        <v>23</v>
      </c>
      <c r="B1249" s="3" t="s">
        <v>24</v>
      </c>
      <c r="C1249" s="3" t="s">
        <v>35</v>
      </c>
      <c r="D1249" s="3" t="s">
        <v>43</v>
      </c>
      <c r="E1249" s="3" t="s">
        <v>30</v>
      </c>
      <c r="F1249" s="3" t="s">
        <v>113</v>
      </c>
      <c r="G1249" s="3">
        <v>2016</v>
      </c>
      <c r="H1249" s="3" t="str">
        <f>CONCATENATE("64210907883")</f>
        <v>64210907883</v>
      </c>
      <c r="I1249" s="3" t="s">
        <v>25</v>
      </c>
      <c r="J1249" s="3" t="s">
        <v>26</v>
      </c>
      <c r="K1249" s="3" t="str">
        <f t="shared" si="41"/>
        <v/>
      </c>
      <c r="L1249" s="3" t="str">
        <f>CONCATENATE("13 13.1 4a")</f>
        <v>13 13.1 4a</v>
      </c>
      <c r="M1249" s="3" t="str">
        <f>CONCATENATE("CTNSNO63R48G479G")</f>
        <v>CTNSNO63R48G479G</v>
      </c>
      <c r="N1249" s="3" t="s">
        <v>402</v>
      </c>
      <c r="O1249" s="3"/>
      <c r="P1249" s="4">
        <v>42783</v>
      </c>
      <c r="Q1249" s="3" t="s">
        <v>27</v>
      </c>
      <c r="R1249" s="3" t="s">
        <v>28</v>
      </c>
      <c r="S1249" s="3" t="s">
        <v>29</v>
      </c>
      <c r="T1249" s="5">
        <v>3903.25</v>
      </c>
      <c r="U1249" s="5">
        <v>1683.08</v>
      </c>
      <c r="V1249" s="5">
        <v>1554.27</v>
      </c>
      <c r="W1249" s="3">
        <v>665.9</v>
      </c>
    </row>
    <row r="1250" spans="1:23" ht="60.75">
      <c r="A1250" s="3" t="s">
        <v>23</v>
      </c>
      <c r="B1250" s="3" t="s">
        <v>24</v>
      </c>
      <c r="C1250" s="3" t="s">
        <v>35</v>
      </c>
      <c r="D1250" s="3" t="s">
        <v>43</v>
      </c>
      <c r="E1250" s="3" t="s">
        <v>32</v>
      </c>
      <c r="F1250" s="3" t="s">
        <v>44</v>
      </c>
      <c r="G1250" s="3">
        <v>2016</v>
      </c>
      <c r="H1250" s="3" t="str">
        <f>CONCATENATE("64240351243")</f>
        <v>64240351243</v>
      </c>
      <c r="I1250" s="3" t="s">
        <v>25</v>
      </c>
      <c r="J1250" s="3" t="s">
        <v>26</v>
      </c>
      <c r="K1250" s="3" t="str">
        <f t="shared" si="41"/>
        <v/>
      </c>
      <c r="L1250" s="3" t="str">
        <f>CONCATENATE("11 11.2 4b")</f>
        <v>11 11.2 4b</v>
      </c>
      <c r="M1250" s="3" t="str">
        <f>CONCATENATE("BRFVNI49S60F589H")</f>
        <v>BRFVNI49S60F589H</v>
      </c>
      <c r="N1250" s="3" t="s">
        <v>1322</v>
      </c>
      <c r="O1250" s="3"/>
      <c r="P1250" s="4">
        <v>42783</v>
      </c>
      <c r="Q1250" s="3" t="s">
        <v>27</v>
      </c>
      <c r="R1250" s="3" t="s">
        <v>28</v>
      </c>
      <c r="S1250" s="3" t="s">
        <v>29</v>
      </c>
      <c r="T1250" s="5">
        <v>2780.35</v>
      </c>
      <c r="U1250" s="5">
        <v>1198.8900000000001</v>
      </c>
      <c r="V1250" s="5">
        <v>1107.1400000000001</v>
      </c>
      <c r="W1250" s="3">
        <v>474.32</v>
      </c>
    </row>
    <row r="1251" spans="1:23" ht="60.75">
      <c r="A1251" s="3" t="s">
        <v>23</v>
      </c>
      <c r="B1251" s="3" t="s">
        <v>24</v>
      </c>
      <c r="C1251" s="3" t="s">
        <v>35</v>
      </c>
      <c r="D1251" s="3" t="s">
        <v>39</v>
      </c>
      <c r="E1251" s="3" t="s">
        <v>30</v>
      </c>
      <c r="F1251" s="3" t="s">
        <v>196</v>
      </c>
      <c r="G1251" s="3">
        <v>2016</v>
      </c>
      <c r="H1251" s="3" t="str">
        <f>CONCATENATE("64240529947")</f>
        <v>64240529947</v>
      </c>
      <c r="I1251" s="3" t="s">
        <v>25</v>
      </c>
      <c r="J1251" s="3" t="s">
        <v>26</v>
      </c>
      <c r="K1251" s="3" t="str">
        <f t="shared" si="41"/>
        <v/>
      </c>
      <c r="L1251" s="3" t="str">
        <f>CONCATENATE("11 11.2 4b")</f>
        <v>11 11.2 4b</v>
      </c>
      <c r="M1251" s="3" t="str">
        <f>CONCATENATE("GRNFNC78L58C615H")</f>
        <v>GRNFNC78L58C615H</v>
      </c>
      <c r="N1251" s="3" t="s">
        <v>1323</v>
      </c>
      <c r="O1251" s="3"/>
      <c r="P1251" s="4">
        <v>42783</v>
      </c>
      <c r="Q1251" s="3" t="s">
        <v>27</v>
      </c>
      <c r="R1251" s="3" t="s">
        <v>28</v>
      </c>
      <c r="S1251" s="3" t="s">
        <v>29</v>
      </c>
      <c r="T1251" s="5">
        <v>2678.54</v>
      </c>
      <c r="U1251" s="5">
        <v>1154.99</v>
      </c>
      <c r="V1251" s="5">
        <v>1066.5899999999999</v>
      </c>
      <c r="W1251" s="3">
        <v>456.96</v>
      </c>
    </row>
    <row r="1252" spans="1:23" ht="72.75">
      <c r="A1252" s="3" t="s">
        <v>23</v>
      </c>
      <c r="B1252" s="3" t="s">
        <v>24</v>
      </c>
      <c r="C1252" s="3" t="s">
        <v>35</v>
      </c>
      <c r="D1252" s="3" t="s">
        <v>36</v>
      </c>
      <c r="E1252" s="3" t="s">
        <v>32</v>
      </c>
      <c r="F1252" s="3" t="s">
        <v>65</v>
      </c>
      <c r="G1252" s="3">
        <v>2016</v>
      </c>
      <c r="H1252" s="3" t="str">
        <f>CONCATENATE("64210788101")</f>
        <v>64210788101</v>
      </c>
      <c r="I1252" s="3" t="s">
        <v>25</v>
      </c>
      <c r="J1252" s="3" t="s">
        <v>26</v>
      </c>
      <c r="K1252" s="3" t="str">
        <f t="shared" si="41"/>
        <v/>
      </c>
      <c r="L1252" s="3" t="str">
        <f>CONCATENATE("13 13.1 4a")</f>
        <v>13 13.1 4a</v>
      </c>
      <c r="M1252" s="3" t="str">
        <f>CONCATENATE("CNNMRN87S56A462T")</f>
        <v>CNNMRN87S56A462T</v>
      </c>
      <c r="N1252" s="3" t="s">
        <v>1324</v>
      </c>
      <c r="O1252" s="3"/>
      <c r="P1252" s="4">
        <v>42783</v>
      </c>
      <c r="Q1252" s="3" t="s">
        <v>27</v>
      </c>
      <c r="R1252" s="3" t="s">
        <v>28</v>
      </c>
      <c r="S1252" s="3" t="s">
        <v>29</v>
      </c>
      <c r="T1252" s="5">
        <v>1450.4</v>
      </c>
      <c r="U1252" s="3">
        <v>625.41</v>
      </c>
      <c r="V1252" s="3">
        <v>577.54999999999995</v>
      </c>
      <c r="W1252" s="3">
        <v>247.44</v>
      </c>
    </row>
    <row r="1253" spans="1:23" ht="60.75">
      <c r="A1253" s="3" t="s">
        <v>23</v>
      </c>
      <c r="B1253" s="3" t="s">
        <v>24</v>
      </c>
      <c r="C1253" s="3" t="s">
        <v>35</v>
      </c>
      <c r="D1253" s="3" t="s">
        <v>43</v>
      </c>
      <c r="E1253" s="3" t="s">
        <v>32</v>
      </c>
      <c r="F1253" s="3" t="s">
        <v>184</v>
      </c>
      <c r="G1253" s="3">
        <v>2016</v>
      </c>
      <c r="H1253" s="3" t="str">
        <f>CONCATENATE("64240339222")</f>
        <v>64240339222</v>
      </c>
      <c r="I1253" s="3" t="s">
        <v>25</v>
      </c>
      <c r="J1253" s="3" t="s">
        <v>26</v>
      </c>
      <c r="K1253" s="3" t="str">
        <f t="shared" si="41"/>
        <v/>
      </c>
      <c r="L1253" s="3" t="str">
        <f>CONCATENATE("11 11.2 4b")</f>
        <v>11 11.2 4b</v>
      </c>
      <c r="M1253" s="3" t="str">
        <f>CONCATENATE("CRMPLA51B26D488Z")</f>
        <v>CRMPLA51B26D488Z</v>
      </c>
      <c r="N1253" s="3" t="s">
        <v>1325</v>
      </c>
      <c r="O1253" s="3"/>
      <c r="P1253" s="4">
        <v>42783</v>
      </c>
      <c r="Q1253" s="3" t="s">
        <v>27</v>
      </c>
      <c r="R1253" s="3" t="s">
        <v>28</v>
      </c>
      <c r="S1253" s="3" t="s">
        <v>29</v>
      </c>
      <c r="T1253" s="3">
        <v>693.9</v>
      </c>
      <c r="U1253" s="3">
        <v>299.20999999999998</v>
      </c>
      <c r="V1253" s="3">
        <v>276.31</v>
      </c>
      <c r="W1253" s="3">
        <v>118.38</v>
      </c>
    </row>
    <row r="1254" spans="1:23" ht="36.75">
      <c r="A1254" s="3" t="s">
        <v>23</v>
      </c>
      <c r="B1254" s="3" t="s">
        <v>24</v>
      </c>
      <c r="C1254" s="3" t="s">
        <v>35</v>
      </c>
      <c r="D1254" s="3" t="s">
        <v>43</v>
      </c>
      <c r="E1254" s="3" t="s">
        <v>33</v>
      </c>
      <c r="F1254" s="3" t="s">
        <v>122</v>
      </c>
      <c r="G1254" s="3">
        <v>2016</v>
      </c>
      <c r="H1254" s="3" t="str">
        <f>CONCATENATE("64211023805")</f>
        <v>64211023805</v>
      </c>
      <c r="I1254" s="3" t="s">
        <v>25</v>
      </c>
      <c r="J1254" s="3" t="s">
        <v>26</v>
      </c>
      <c r="K1254" s="3" t="str">
        <f t="shared" si="41"/>
        <v/>
      </c>
      <c r="L1254" s="3" t="str">
        <f>CONCATENATE("13 13.1 4a")</f>
        <v>13 13.1 4a</v>
      </c>
      <c r="M1254" s="3" t="str">
        <f>CONCATENATE("01204270415")</f>
        <v>01204270415</v>
      </c>
      <c r="N1254" s="3" t="s">
        <v>1326</v>
      </c>
      <c r="O1254" s="3"/>
      <c r="P1254" s="4">
        <v>42783</v>
      </c>
      <c r="Q1254" s="3" t="s">
        <v>27</v>
      </c>
      <c r="R1254" s="3" t="s">
        <v>28</v>
      </c>
      <c r="S1254" s="3" t="s">
        <v>29</v>
      </c>
      <c r="T1254" s="5">
        <v>1901.86</v>
      </c>
      <c r="U1254" s="3">
        <v>820.08</v>
      </c>
      <c r="V1254" s="3">
        <v>757.32</v>
      </c>
      <c r="W1254" s="3">
        <v>324.45999999999998</v>
      </c>
    </row>
    <row r="1255" spans="1:23" ht="72.75">
      <c r="A1255" s="3" t="s">
        <v>23</v>
      </c>
      <c r="B1255" s="3" t="s">
        <v>24</v>
      </c>
      <c r="C1255" s="3" t="s">
        <v>35</v>
      </c>
      <c r="D1255" s="3" t="s">
        <v>36</v>
      </c>
      <c r="E1255" s="3" t="s">
        <v>42</v>
      </c>
      <c r="F1255" s="3" t="s">
        <v>42</v>
      </c>
      <c r="G1255" s="3">
        <v>2016</v>
      </c>
      <c r="H1255" s="3" t="str">
        <f>CONCATENATE("64240071114")</f>
        <v>64240071114</v>
      </c>
      <c r="I1255" s="3" t="s">
        <v>25</v>
      </c>
      <c r="J1255" s="3" t="s">
        <v>26</v>
      </c>
      <c r="K1255" s="3" t="str">
        <f t="shared" si="41"/>
        <v/>
      </c>
      <c r="L1255" s="3" t="str">
        <f>CONCATENATE("11 11.2 4b")</f>
        <v>11 11.2 4b</v>
      </c>
      <c r="M1255" s="3" t="str">
        <f>CONCATENATE("CNLMRA55H65G005M")</f>
        <v>CNLMRA55H65G005M</v>
      </c>
      <c r="N1255" s="3" t="s">
        <v>1327</v>
      </c>
      <c r="O1255" s="3"/>
      <c r="P1255" s="4">
        <v>42783</v>
      </c>
      <c r="Q1255" s="3" t="s">
        <v>27</v>
      </c>
      <c r="R1255" s="3" t="s">
        <v>28</v>
      </c>
      <c r="S1255" s="3" t="s">
        <v>29</v>
      </c>
      <c r="T1255" s="5">
        <v>2472.89</v>
      </c>
      <c r="U1255" s="5">
        <v>1066.31</v>
      </c>
      <c r="V1255" s="3">
        <v>984.7</v>
      </c>
      <c r="W1255" s="3">
        <v>421.88</v>
      </c>
    </row>
    <row r="1256" spans="1:23" ht="60.75">
      <c r="A1256" s="3" t="s">
        <v>23</v>
      </c>
      <c r="B1256" s="3" t="s">
        <v>24</v>
      </c>
      <c r="C1256" s="3" t="s">
        <v>35</v>
      </c>
      <c r="D1256" s="3" t="s">
        <v>43</v>
      </c>
      <c r="E1256" s="3" t="s">
        <v>30</v>
      </c>
      <c r="F1256" s="3" t="s">
        <v>131</v>
      </c>
      <c r="G1256" s="3">
        <v>2016</v>
      </c>
      <c r="H1256" s="3" t="str">
        <f>CONCATENATE("64240831608")</f>
        <v>64240831608</v>
      </c>
      <c r="I1256" s="3" t="s">
        <v>25</v>
      </c>
      <c r="J1256" s="3" t="s">
        <v>26</v>
      </c>
      <c r="K1256" s="3" t="str">
        <f t="shared" si="41"/>
        <v/>
      </c>
      <c r="L1256" s="3" t="str">
        <f>CONCATENATE("11 11.2 4b")</f>
        <v>11 11.2 4b</v>
      </c>
      <c r="M1256" s="3" t="str">
        <f>CONCATENATE("CLVLRA86B51D451O")</f>
        <v>CLVLRA86B51D451O</v>
      </c>
      <c r="N1256" s="3" t="s">
        <v>1248</v>
      </c>
      <c r="O1256" s="3"/>
      <c r="P1256" s="4">
        <v>42783</v>
      </c>
      <c r="Q1256" s="3" t="s">
        <v>27</v>
      </c>
      <c r="R1256" s="3" t="s">
        <v>28</v>
      </c>
      <c r="S1256" s="3" t="s">
        <v>29</v>
      </c>
      <c r="T1256" s="5">
        <v>14310.88</v>
      </c>
      <c r="U1256" s="5">
        <v>6170.85</v>
      </c>
      <c r="V1256" s="5">
        <v>5698.59</v>
      </c>
      <c r="W1256" s="5">
        <v>2441.44</v>
      </c>
    </row>
    <row r="1257" spans="1:23" ht="60.75">
      <c r="A1257" s="3" t="s">
        <v>23</v>
      </c>
      <c r="B1257" s="3" t="s">
        <v>24</v>
      </c>
      <c r="C1257" s="3" t="s">
        <v>35</v>
      </c>
      <c r="D1257" s="3" t="s">
        <v>36</v>
      </c>
      <c r="E1257" s="3" t="s">
        <v>30</v>
      </c>
      <c r="F1257" s="3" t="s">
        <v>37</v>
      </c>
      <c r="G1257" s="3">
        <v>2016</v>
      </c>
      <c r="H1257" s="3" t="str">
        <f>CONCATENATE("64240410445")</f>
        <v>64240410445</v>
      </c>
      <c r="I1257" s="3" t="s">
        <v>25</v>
      </c>
      <c r="J1257" s="3" t="s">
        <v>26</v>
      </c>
      <c r="K1257" s="3" t="str">
        <f t="shared" si="41"/>
        <v/>
      </c>
      <c r="L1257" s="3" t="str">
        <f>CONCATENATE("10 10.1 4b")</f>
        <v>10 10.1 4b</v>
      </c>
      <c r="M1257" s="3" t="str">
        <f>CONCATENATE("MBLFNC51E22F501U")</f>
        <v>MBLFNC51E22F501U</v>
      </c>
      <c r="N1257" s="3" t="s">
        <v>1328</v>
      </c>
      <c r="O1257" s="3"/>
      <c r="P1257" s="4">
        <v>42783</v>
      </c>
      <c r="Q1257" s="3" t="s">
        <v>27</v>
      </c>
      <c r="R1257" s="3" t="s">
        <v>28</v>
      </c>
      <c r="S1257" s="3" t="s">
        <v>29</v>
      </c>
      <c r="T1257" s="5">
        <v>1264.1099999999999</v>
      </c>
      <c r="U1257" s="3">
        <v>545.08000000000004</v>
      </c>
      <c r="V1257" s="3">
        <v>503.37</v>
      </c>
      <c r="W1257" s="3">
        <v>215.66</v>
      </c>
    </row>
    <row r="1258" spans="1:23" ht="60.75">
      <c r="A1258" s="3" t="s">
        <v>23</v>
      </c>
      <c r="B1258" s="3" t="s">
        <v>24</v>
      </c>
      <c r="C1258" s="3" t="s">
        <v>35</v>
      </c>
      <c r="D1258" s="3" t="s">
        <v>43</v>
      </c>
      <c r="E1258" s="3" t="s">
        <v>33</v>
      </c>
      <c r="F1258" s="3" t="s">
        <v>848</v>
      </c>
      <c r="G1258" s="3">
        <v>2016</v>
      </c>
      <c r="H1258" s="3" t="str">
        <f>CONCATENATE("64211043761")</f>
        <v>64211043761</v>
      </c>
      <c r="I1258" s="3" t="s">
        <v>25</v>
      </c>
      <c r="J1258" s="3" t="s">
        <v>26</v>
      </c>
      <c r="K1258" s="3" t="str">
        <f t="shared" si="41"/>
        <v/>
      </c>
      <c r="L1258" s="3" t="str">
        <f>CONCATENATE("13 13.1 4a")</f>
        <v>13 13.1 4a</v>
      </c>
      <c r="M1258" s="3" t="str">
        <f>CONCATENATE("SROSVT48C01G015A")</f>
        <v>SROSVT48C01G015A</v>
      </c>
      <c r="N1258" s="3" t="s">
        <v>1329</v>
      </c>
      <c r="O1258" s="3"/>
      <c r="P1258" s="4">
        <v>42783</v>
      </c>
      <c r="Q1258" s="3" t="s">
        <v>27</v>
      </c>
      <c r="R1258" s="3" t="s">
        <v>28</v>
      </c>
      <c r="S1258" s="3" t="s">
        <v>29</v>
      </c>
      <c r="T1258" s="5">
        <v>1689.2</v>
      </c>
      <c r="U1258" s="3">
        <v>728.38</v>
      </c>
      <c r="V1258" s="3">
        <v>672.64</v>
      </c>
      <c r="W1258" s="3">
        <v>288.18</v>
      </c>
    </row>
    <row r="1259" spans="1:23" ht="60.75">
      <c r="A1259" s="3" t="s">
        <v>23</v>
      </c>
      <c r="B1259" s="3" t="s">
        <v>24</v>
      </c>
      <c r="C1259" s="3" t="s">
        <v>35</v>
      </c>
      <c r="D1259" s="3" t="s">
        <v>43</v>
      </c>
      <c r="E1259" s="3" t="s">
        <v>32</v>
      </c>
      <c r="F1259" s="3" t="s">
        <v>119</v>
      </c>
      <c r="G1259" s="3">
        <v>2016</v>
      </c>
      <c r="H1259" s="3" t="str">
        <f>CONCATENATE("64210797946")</f>
        <v>64210797946</v>
      </c>
      <c r="I1259" s="3" t="s">
        <v>25</v>
      </c>
      <c r="J1259" s="3" t="s">
        <v>26</v>
      </c>
      <c r="K1259" s="3" t="str">
        <f t="shared" si="41"/>
        <v/>
      </c>
      <c r="L1259" s="3" t="str">
        <f>CONCATENATE("13 13.1 4a")</f>
        <v>13 13.1 4a</v>
      </c>
      <c r="M1259" s="3" t="str">
        <f>CONCATENATE("RCNGLI56C09B636X")</f>
        <v>RCNGLI56C09B636X</v>
      </c>
      <c r="N1259" s="3" t="s">
        <v>1330</v>
      </c>
      <c r="O1259" s="3"/>
      <c r="P1259" s="4">
        <v>42783</v>
      </c>
      <c r="Q1259" s="3" t="s">
        <v>27</v>
      </c>
      <c r="R1259" s="3" t="s">
        <v>28</v>
      </c>
      <c r="S1259" s="3" t="s">
        <v>29</v>
      </c>
      <c r="T1259" s="5">
        <v>2886.14</v>
      </c>
      <c r="U1259" s="5">
        <v>1244.5</v>
      </c>
      <c r="V1259" s="5">
        <v>1149.26</v>
      </c>
      <c r="W1259" s="3">
        <v>492.38</v>
      </c>
    </row>
    <row r="1260" spans="1:23" ht="60.75">
      <c r="A1260" s="3" t="s">
        <v>23</v>
      </c>
      <c r="B1260" s="3" t="s">
        <v>24</v>
      </c>
      <c r="C1260" s="3" t="s">
        <v>35</v>
      </c>
      <c r="D1260" s="3" t="s">
        <v>36</v>
      </c>
      <c r="E1260" s="3" t="s">
        <v>33</v>
      </c>
      <c r="F1260" s="3" t="s">
        <v>192</v>
      </c>
      <c r="G1260" s="3">
        <v>2016</v>
      </c>
      <c r="H1260" s="3" t="str">
        <f>CONCATENATE("64240678652")</f>
        <v>64240678652</v>
      </c>
      <c r="I1260" s="3" t="s">
        <v>25</v>
      </c>
      <c r="J1260" s="3" t="s">
        <v>26</v>
      </c>
      <c r="K1260" s="3" t="str">
        <f t="shared" si="41"/>
        <v/>
      </c>
      <c r="L1260" s="3" t="str">
        <f>CONCATENATE("11 11.2 4b")</f>
        <v>11 11.2 4b</v>
      </c>
      <c r="M1260" s="3" t="str">
        <f>CONCATENATE("LLVMLT70L47H769X")</f>
        <v>LLVMLT70L47H769X</v>
      </c>
      <c r="N1260" s="3" t="s">
        <v>1331</v>
      </c>
      <c r="O1260" s="3"/>
      <c r="P1260" s="4">
        <v>42783</v>
      </c>
      <c r="Q1260" s="3" t="s">
        <v>27</v>
      </c>
      <c r="R1260" s="3" t="s">
        <v>28</v>
      </c>
      <c r="S1260" s="3" t="s">
        <v>29</v>
      </c>
      <c r="T1260" s="5">
        <v>2346.71</v>
      </c>
      <c r="U1260" s="5">
        <v>1011.9</v>
      </c>
      <c r="V1260" s="3">
        <v>934.46</v>
      </c>
      <c r="W1260" s="3">
        <v>400.35</v>
      </c>
    </row>
    <row r="1261" spans="1:23" ht="36.75">
      <c r="A1261" s="3" t="s">
        <v>23</v>
      </c>
      <c r="B1261" s="3" t="s">
        <v>24</v>
      </c>
      <c r="C1261" s="3" t="s">
        <v>35</v>
      </c>
      <c r="D1261" s="3" t="s">
        <v>43</v>
      </c>
      <c r="E1261" s="3" t="s">
        <v>30</v>
      </c>
      <c r="F1261" s="3" t="s">
        <v>131</v>
      </c>
      <c r="G1261" s="3">
        <v>2016</v>
      </c>
      <c r="H1261" s="3" t="str">
        <f>CONCATENATE("64240737656")</f>
        <v>64240737656</v>
      </c>
      <c r="I1261" s="3" t="s">
        <v>25</v>
      </c>
      <c r="J1261" s="3" t="s">
        <v>26</v>
      </c>
      <c r="K1261" s="3" t="str">
        <f t="shared" si="41"/>
        <v/>
      </c>
      <c r="L1261" s="3" t="str">
        <f>CONCATENATE("11 11.1 4b")</f>
        <v>11 11.1 4b</v>
      </c>
      <c r="M1261" s="3" t="str">
        <f>CONCATENATE("02393390410")</f>
        <v>02393390410</v>
      </c>
      <c r="N1261" s="3" t="s">
        <v>1246</v>
      </c>
      <c r="O1261" s="3"/>
      <c r="P1261" s="4">
        <v>42783</v>
      </c>
      <c r="Q1261" s="3" t="s">
        <v>27</v>
      </c>
      <c r="R1261" s="3" t="s">
        <v>28</v>
      </c>
      <c r="S1261" s="3" t="s">
        <v>29</v>
      </c>
      <c r="T1261" s="5">
        <v>13101.89</v>
      </c>
      <c r="U1261" s="5">
        <v>5649.53</v>
      </c>
      <c r="V1261" s="5">
        <v>5217.17</v>
      </c>
      <c r="W1261" s="5">
        <v>2235.19</v>
      </c>
    </row>
    <row r="1262" spans="1:23" ht="60.75">
      <c r="A1262" s="3" t="s">
        <v>23</v>
      </c>
      <c r="B1262" s="3" t="s">
        <v>24</v>
      </c>
      <c r="C1262" s="3" t="s">
        <v>35</v>
      </c>
      <c r="D1262" s="3" t="s">
        <v>43</v>
      </c>
      <c r="E1262" s="3" t="s">
        <v>30</v>
      </c>
      <c r="F1262" s="3" t="s">
        <v>76</v>
      </c>
      <c r="G1262" s="3">
        <v>2016</v>
      </c>
      <c r="H1262" s="3" t="str">
        <f>CONCATENATE("64240297057")</f>
        <v>64240297057</v>
      </c>
      <c r="I1262" s="3" t="s">
        <v>25</v>
      </c>
      <c r="J1262" s="3" t="s">
        <v>26</v>
      </c>
      <c r="K1262" s="3" t="str">
        <f t="shared" ref="K1262:K1325" si="43">CONCATENATE("")</f>
        <v/>
      </c>
      <c r="L1262" s="3" t="str">
        <f>CONCATENATE("11 11.1 4b")</f>
        <v>11 11.1 4b</v>
      </c>
      <c r="M1262" s="3" t="str">
        <f>CONCATENATE("GVGSFN62D18E785Z")</f>
        <v>GVGSFN62D18E785Z</v>
      </c>
      <c r="N1262" s="3" t="s">
        <v>77</v>
      </c>
      <c r="O1262" s="3"/>
      <c r="P1262" s="4">
        <v>42783</v>
      </c>
      <c r="Q1262" s="3" t="s">
        <v>27</v>
      </c>
      <c r="R1262" s="3" t="s">
        <v>28</v>
      </c>
      <c r="S1262" s="3" t="s">
        <v>29</v>
      </c>
      <c r="T1262" s="5">
        <v>10155.08</v>
      </c>
      <c r="U1262" s="5">
        <v>4378.87</v>
      </c>
      <c r="V1262" s="5">
        <v>4043.75</v>
      </c>
      <c r="W1262" s="5">
        <v>1732.46</v>
      </c>
    </row>
    <row r="1263" spans="1:23" ht="72.75">
      <c r="A1263" s="3" t="s">
        <v>23</v>
      </c>
      <c r="B1263" s="3" t="s">
        <v>24</v>
      </c>
      <c r="C1263" s="3" t="s">
        <v>35</v>
      </c>
      <c r="D1263" s="3" t="s">
        <v>36</v>
      </c>
      <c r="E1263" s="3" t="s">
        <v>30</v>
      </c>
      <c r="F1263" s="3" t="s">
        <v>37</v>
      </c>
      <c r="G1263" s="3">
        <v>2016</v>
      </c>
      <c r="H1263" s="3" t="str">
        <f>CONCATENATE("64240561528")</f>
        <v>64240561528</v>
      </c>
      <c r="I1263" s="3" t="s">
        <v>25</v>
      </c>
      <c r="J1263" s="3" t="s">
        <v>26</v>
      </c>
      <c r="K1263" s="3" t="str">
        <f t="shared" si="43"/>
        <v/>
      </c>
      <c r="L1263" s="3" t="str">
        <f>CONCATENATE("11 11.2 4b")</f>
        <v>11 11.2 4b</v>
      </c>
      <c r="M1263" s="3" t="str">
        <f>CONCATENATE("DGRMRN74B11D096A")</f>
        <v>DGRMRN74B11D096A</v>
      </c>
      <c r="N1263" s="3" t="s">
        <v>1332</v>
      </c>
      <c r="O1263" s="3"/>
      <c r="P1263" s="4">
        <v>42783</v>
      </c>
      <c r="Q1263" s="3" t="s">
        <v>27</v>
      </c>
      <c r="R1263" s="3" t="s">
        <v>28</v>
      </c>
      <c r="S1263" s="3" t="s">
        <v>29</v>
      </c>
      <c r="T1263" s="5">
        <v>10369.299999999999</v>
      </c>
      <c r="U1263" s="5">
        <v>4471.24</v>
      </c>
      <c r="V1263" s="5">
        <v>4129.0600000000004</v>
      </c>
      <c r="W1263" s="5">
        <v>1769</v>
      </c>
    </row>
    <row r="1264" spans="1:23" ht="60.75">
      <c r="A1264" s="3" t="s">
        <v>23</v>
      </c>
      <c r="B1264" s="3" t="s">
        <v>24</v>
      </c>
      <c r="C1264" s="3" t="s">
        <v>35</v>
      </c>
      <c r="D1264" s="3" t="s">
        <v>48</v>
      </c>
      <c r="E1264" s="3" t="s">
        <v>49</v>
      </c>
      <c r="F1264" s="3" t="s">
        <v>50</v>
      </c>
      <c r="G1264" s="3">
        <v>2016</v>
      </c>
      <c r="H1264" s="3" t="str">
        <f>CONCATENATE("64240840930")</f>
        <v>64240840930</v>
      </c>
      <c r="I1264" s="3" t="s">
        <v>25</v>
      </c>
      <c r="J1264" s="3" t="s">
        <v>26</v>
      </c>
      <c r="K1264" s="3" t="str">
        <f t="shared" si="43"/>
        <v/>
      </c>
      <c r="L1264" s="3" t="str">
        <f>CONCATENATE("11 11.2 4b")</f>
        <v>11 11.2 4b</v>
      </c>
      <c r="M1264" s="3" t="str">
        <f>CONCATENATE("CPRLNU73L69I324A")</f>
        <v>CPRLNU73L69I324A</v>
      </c>
      <c r="N1264" s="3" t="s">
        <v>1333</v>
      </c>
      <c r="O1264" s="3"/>
      <c r="P1264" s="4">
        <v>42783</v>
      </c>
      <c r="Q1264" s="3" t="s">
        <v>27</v>
      </c>
      <c r="R1264" s="3" t="s">
        <v>28</v>
      </c>
      <c r="S1264" s="3" t="s">
        <v>29</v>
      </c>
      <c r="T1264" s="5">
        <v>12541.49</v>
      </c>
      <c r="U1264" s="5">
        <v>5407.89</v>
      </c>
      <c r="V1264" s="5">
        <v>4994.0200000000004</v>
      </c>
      <c r="W1264" s="5">
        <v>2139.58</v>
      </c>
    </row>
    <row r="1265" spans="1:23" ht="60.75">
      <c r="A1265" s="3" t="s">
        <v>23</v>
      </c>
      <c r="B1265" s="3" t="s">
        <v>24</v>
      </c>
      <c r="C1265" s="3" t="s">
        <v>35</v>
      </c>
      <c r="D1265" s="3" t="s">
        <v>48</v>
      </c>
      <c r="E1265" s="3" t="s">
        <v>30</v>
      </c>
      <c r="F1265" s="3" t="s">
        <v>57</v>
      </c>
      <c r="G1265" s="3">
        <v>2016</v>
      </c>
      <c r="H1265" s="3" t="str">
        <f>CONCATENATE("64240387999")</f>
        <v>64240387999</v>
      </c>
      <c r="I1265" s="3" t="s">
        <v>25</v>
      </c>
      <c r="J1265" s="3" t="s">
        <v>26</v>
      </c>
      <c r="K1265" s="3" t="str">
        <f t="shared" si="43"/>
        <v/>
      </c>
      <c r="L1265" s="3" t="str">
        <f>CONCATENATE("11 11.2 4b")</f>
        <v>11 11.2 4b</v>
      </c>
      <c r="M1265" s="3" t="str">
        <f>CONCATENATE("RMLMRA85M06L191R")</f>
        <v>RMLMRA85M06L191R</v>
      </c>
      <c r="N1265" s="3" t="s">
        <v>1334</v>
      </c>
      <c r="O1265" s="3"/>
      <c r="P1265" s="4">
        <v>42783</v>
      </c>
      <c r="Q1265" s="3" t="s">
        <v>27</v>
      </c>
      <c r="R1265" s="3" t="s">
        <v>28</v>
      </c>
      <c r="S1265" s="3" t="s">
        <v>29</v>
      </c>
      <c r="T1265" s="5">
        <v>2271.15</v>
      </c>
      <c r="U1265" s="3">
        <v>979.32</v>
      </c>
      <c r="V1265" s="3">
        <v>904.37</v>
      </c>
      <c r="W1265" s="3">
        <v>387.46</v>
      </c>
    </row>
    <row r="1266" spans="1:23" ht="60.75">
      <c r="A1266" s="3" t="s">
        <v>23</v>
      </c>
      <c r="B1266" s="3" t="s">
        <v>24</v>
      </c>
      <c r="C1266" s="3" t="s">
        <v>35</v>
      </c>
      <c r="D1266" s="3" t="s">
        <v>43</v>
      </c>
      <c r="E1266" s="3" t="s">
        <v>32</v>
      </c>
      <c r="F1266" s="3" t="s">
        <v>44</v>
      </c>
      <c r="G1266" s="3">
        <v>2016</v>
      </c>
      <c r="H1266" s="3" t="str">
        <f>CONCATENATE("64240368023")</f>
        <v>64240368023</v>
      </c>
      <c r="I1266" s="3" t="s">
        <v>25</v>
      </c>
      <c r="J1266" s="3" t="s">
        <v>26</v>
      </c>
      <c r="K1266" s="3" t="str">
        <f t="shared" si="43"/>
        <v/>
      </c>
      <c r="L1266" s="3" t="str">
        <f>CONCATENATE("11 11.2 4b")</f>
        <v>11 11.2 4b</v>
      </c>
      <c r="M1266" s="3" t="str">
        <f>CONCATENATE("TMSSRA78C61D749P")</f>
        <v>TMSSRA78C61D749P</v>
      </c>
      <c r="N1266" s="3" t="s">
        <v>1335</v>
      </c>
      <c r="O1266" s="3"/>
      <c r="P1266" s="4">
        <v>42783</v>
      </c>
      <c r="Q1266" s="3" t="s">
        <v>27</v>
      </c>
      <c r="R1266" s="3" t="s">
        <v>28</v>
      </c>
      <c r="S1266" s="3" t="s">
        <v>29</v>
      </c>
      <c r="T1266" s="5">
        <v>6172.43</v>
      </c>
      <c r="U1266" s="5">
        <v>2661.55</v>
      </c>
      <c r="V1266" s="5">
        <v>2457.86</v>
      </c>
      <c r="W1266" s="5">
        <v>1053.02</v>
      </c>
    </row>
    <row r="1267" spans="1:23" ht="60.75">
      <c r="A1267" s="3" t="s">
        <v>23</v>
      </c>
      <c r="B1267" s="3" t="s">
        <v>24</v>
      </c>
      <c r="C1267" s="3" t="s">
        <v>35</v>
      </c>
      <c r="D1267" s="3" t="s">
        <v>36</v>
      </c>
      <c r="E1267" s="3" t="s">
        <v>30</v>
      </c>
      <c r="F1267" s="3" t="s">
        <v>323</v>
      </c>
      <c r="G1267" s="3">
        <v>2016</v>
      </c>
      <c r="H1267" s="3" t="str">
        <f>CONCATENATE("64240699146")</f>
        <v>64240699146</v>
      </c>
      <c r="I1267" s="3" t="s">
        <v>25</v>
      </c>
      <c r="J1267" s="3" t="s">
        <v>26</v>
      </c>
      <c r="K1267" s="3" t="str">
        <f t="shared" si="43"/>
        <v/>
      </c>
      <c r="L1267" s="3" t="str">
        <f>CONCATENATE("11 11.1 4b")</f>
        <v>11 11.1 4b</v>
      </c>
      <c r="M1267" s="3" t="str">
        <f>CONCATENATE("PLTGNN55H64F591O")</f>
        <v>PLTGNN55H64F591O</v>
      </c>
      <c r="N1267" s="3" t="s">
        <v>1336</v>
      </c>
      <c r="O1267" s="3"/>
      <c r="P1267" s="4">
        <v>42783</v>
      </c>
      <c r="Q1267" s="3" t="s">
        <v>27</v>
      </c>
      <c r="R1267" s="3" t="s">
        <v>28</v>
      </c>
      <c r="S1267" s="3" t="s">
        <v>29</v>
      </c>
      <c r="T1267" s="5">
        <v>1484.96</v>
      </c>
      <c r="U1267" s="3">
        <v>640.30999999999995</v>
      </c>
      <c r="V1267" s="3">
        <v>591.30999999999995</v>
      </c>
      <c r="W1267" s="3">
        <v>253.34</v>
      </c>
    </row>
    <row r="1268" spans="1:23" ht="60.75">
      <c r="A1268" s="3" t="s">
        <v>23</v>
      </c>
      <c r="B1268" s="3" t="s">
        <v>24</v>
      </c>
      <c r="C1268" s="3" t="s">
        <v>35</v>
      </c>
      <c r="D1268" s="3" t="s">
        <v>48</v>
      </c>
      <c r="E1268" s="3" t="s">
        <v>30</v>
      </c>
      <c r="F1268" s="3" t="s">
        <v>157</v>
      </c>
      <c r="G1268" s="3">
        <v>2016</v>
      </c>
      <c r="H1268" s="3" t="str">
        <f>CONCATENATE("64240350575")</f>
        <v>64240350575</v>
      </c>
      <c r="I1268" s="3" t="s">
        <v>25</v>
      </c>
      <c r="J1268" s="3" t="s">
        <v>26</v>
      </c>
      <c r="K1268" s="3" t="str">
        <f t="shared" si="43"/>
        <v/>
      </c>
      <c r="L1268" s="3" t="str">
        <f>CONCATENATE("11 11.2 4b")</f>
        <v>11 11.2 4b</v>
      </c>
      <c r="M1268" s="3" t="str">
        <f>CONCATENATE("GRSSMN71H21I436J")</f>
        <v>GRSSMN71H21I436J</v>
      </c>
      <c r="N1268" s="3" t="s">
        <v>1337</v>
      </c>
      <c r="O1268" s="3"/>
      <c r="P1268" s="4">
        <v>42783</v>
      </c>
      <c r="Q1268" s="3" t="s">
        <v>27</v>
      </c>
      <c r="R1268" s="3" t="s">
        <v>28</v>
      </c>
      <c r="S1268" s="3" t="s">
        <v>29</v>
      </c>
      <c r="T1268" s="5">
        <v>2725.76</v>
      </c>
      <c r="U1268" s="5">
        <v>1175.3499999999999</v>
      </c>
      <c r="V1268" s="5">
        <v>1085.4000000000001</v>
      </c>
      <c r="W1268" s="3">
        <v>465.01</v>
      </c>
    </row>
    <row r="1269" spans="1:23" ht="60.75">
      <c r="A1269" s="3" t="s">
        <v>23</v>
      </c>
      <c r="B1269" s="3" t="s">
        <v>24</v>
      </c>
      <c r="C1269" s="3" t="s">
        <v>35</v>
      </c>
      <c r="D1269" s="3" t="s">
        <v>39</v>
      </c>
      <c r="E1269" s="3" t="s">
        <v>30</v>
      </c>
      <c r="F1269" s="3" t="s">
        <v>40</v>
      </c>
      <c r="G1269" s="3">
        <v>2016</v>
      </c>
      <c r="H1269" s="3" t="str">
        <f>CONCATENATE("64240527511")</f>
        <v>64240527511</v>
      </c>
      <c r="I1269" s="3" t="s">
        <v>25</v>
      </c>
      <c r="J1269" s="3" t="s">
        <v>26</v>
      </c>
      <c r="K1269" s="3" t="str">
        <f t="shared" si="43"/>
        <v/>
      </c>
      <c r="L1269" s="3" t="str">
        <f>CONCATENATE("11 11.2 4b")</f>
        <v>11 11.2 4b</v>
      </c>
      <c r="M1269" s="3" t="str">
        <f>CONCATENATE("ZHLRHN76A49Z255W")</f>
        <v>ZHLRHN76A49Z255W</v>
      </c>
      <c r="N1269" s="3" t="s">
        <v>1338</v>
      </c>
      <c r="O1269" s="3"/>
      <c r="P1269" s="4">
        <v>42783</v>
      </c>
      <c r="Q1269" s="3" t="s">
        <v>27</v>
      </c>
      <c r="R1269" s="3" t="s">
        <v>28</v>
      </c>
      <c r="S1269" s="3" t="s">
        <v>29</v>
      </c>
      <c r="T1269" s="5">
        <v>2565.79</v>
      </c>
      <c r="U1269" s="5">
        <v>1106.3699999999999</v>
      </c>
      <c r="V1269" s="5">
        <v>1021.7</v>
      </c>
      <c r="W1269" s="3">
        <v>437.72</v>
      </c>
    </row>
    <row r="1270" spans="1:23" ht="60.75">
      <c r="A1270" s="3" t="s">
        <v>23</v>
      </c>
      <c r="B1270" s="3" t="s">
        <v>24</v>
      </c>
      <c r="C1270" s="3" t="s">
        <v>35</v>
      </c>
      <c r="D1270" s="3" t="s">
        <v>43</v>
      </c>
      <c r="E1270" s="3" t="s">
        <v>34</v>
      </c>
      <c r="F1270" s="3" t="s">
        <v>146</v>
      </c>
      <c r="G1270" s="3">
        <v>2016</v>
      </c>
      <c r="H1270" s="3" t="str">
        <f>CONCATENATE("64240090858")</f>
        <v>64240090858</v>
      </c>
      <c r="I1270" s="3" t="s">
        <v>25</v>
      </c>
      <c r="J1270" s="3" t="s">
        <v>26</v>
      </c>
      <c r="K1270" s="3" t="str">
        <f t="shared" si="43"/>
        <v/>
      </c>
      <c r="L1270" s="3" t="str">
        <f>CONCATENATE("11 11.2 4b")</f>
        <v>11 11.2 4b</v>
      </c>
      <c r="M1270" s="3" t="str">
        <f>CONCATENATE("GCMMZN44C57D488G")</f>
        <v>GCMMZN44C57D488G</v>
      </c>
      <c r="N1270" s="3" t="s">
        <v>1339</v>
      </c>
      <c r="O1270" s="3"/>
      <c r="P1270" s="4">
        <v>42783</v>
      </c>
      <c r="Q1270" s="3" t="s">
        <v>27</v>
      </c>
      <c r="R1270" s="3" t="s">
        <v>28</v>
      </c>
      <c r="S1270" s="3" t="s">
        <v>29</v>
      </c>
      <c r="T1270" s="5">
        <v>1795.9</v>
      </c>
      <c r="U1270" s="3">
        <v>774.39</v>
      </c>
      <c r="V1270" s="3">
        <v>715.13</v>
      </c>
      <c r="W1270" s="3">
        <v>306.38</v>
      </c>
    </row>
    <row r="1271" spans="1:23" ht="60.75">
      <c r="A1271" s="3" t="s">
        <v>23</v>
      </c>
      <c r="B1271" s="3" t="s">
        <v>24</v>
      </c>
      <c r="C1271" s="3" t="s">
        <v>35</v>
      </c>
      <c r="D1271" s="3" t="s">
        <v>36</v>
      </c>
      <c r="E1271" s="3" t="s">
        <v>59</v>
      </c>
      <c r="F1271" s="3" t="s">
        <v>62</v>
      </c>
      <c r="G1271" s="3">
        <v>2016</v>
      </c>
      <c r="H1271" s="3" t="str">
        <f>CONCATENATE("64240623864")</f>
        <v>64240623864</v>
      </c>
      <c r="I1271" s="3" t="s">
        <v>25</v>
      </c>
      <c r="J1271" s="3" t="s">
        <v>26</v>
      </c>
      <c r="K1271" s="3" t="str">
        <f t="shared" si="43"/>
        <v/>
      </c>
      <c r="L1271" s="3" t="str">
        <f>CONCATENATE("11 11.1 4b")</f>
        <v>11 11.1 4b</v>
      </c>
      <c r="M1271" s="3" t="str">
        <f>CONCATENATE("MRCMHL89S22A252M")</f>
        <v>MRCMHL89S22A252M</v>
      </c>
      <c r="N1271" s="3" t="s">
        <v>1340</v>
      </c>
      <c r="O1271" s="3"/>
      <c r="P1271" s="4">
        <v>42783</v>
      </c>
      <c r="Q1271" s="3" t="s">
        <v>27</v>
      </c>
      <c r="R1271" s="3" t="s">
        <v>28</v>
      </c>
      <c r="S1271" s="3" t="s">
        <v>29</v>
      </c>
      <c r="T1271" s="5">
        <v>11158.01</v>
      </c>
      <c r="U1271" s="5">
        <v>4811.33</v>
      </c>
      <c r="V1271" s="5">
        <v>4443.12</v>
      </c>
      <c r="W1271" s="5">
        <v>1903.56</v>
      </c>
    </row>
    <row r="1272" spans="1:23" ht="60.75">
      <c r="A1272" s="3" t="s">
        <v>23</v>
      </c>
      <c r="B1272" s="3" t="s">
        <v>24</v>
      </c>
      <c r="C1272" s="3" t="s">
        <v>35</v>
      </c>
      <c r="D1272" s="3" t="s">
        <v>39</v>
      </c>
      <c r="E1272" s="3" t="s">
        <v>32</v>
      </c>
      <c r="F1272" s="3" t="s">
        <v>69</v>
      </c>
      <c r="G1272" s="3">
        <v>2016</v>
      </c>
      <c r="H1272" s="3" t="str">
        <f>CONCATENATE("64240500617")</f>
        <v>64240500617</v>
      </c>
      <c r="I1272" s="3" t="s">
        <v>25</v>
      </c>
      <c r="J1272" s="3" t="s">
        <v>26</v>
      </c>
      <c r="K1272" s="3" t="str">
        <f t="shared" si="43"/>
        <v/>
      </c>
      <c r="L1272" s="3" t="str">
        <f>CONCATENATE("11 11.2 4b")</f>
        <v>11 11.2 4b</v>
      </c>
      <c r="M1272" s="3" t="str">
        <f>CONCATENATE("STGPRG60P19L506Y")</f>
        <v>STGPRG60P19L506Y</v>
      </c>
      <c r="N1272" s="3" t="s">
        <v>1341</v>
      </c>
      <c r="O1272" s="3"/>
      <c r="P1272" s="4">
        <v>42783</v>
      </c>
      <c r="Q1272" s="3" t="s">
        <v>27</v>
      </c>
      <c r="R1272" s="3" t="s">
        <v>28</v>
      </c>
      <c r="S1272" s="3" t="s">
        <v>29</v>
      </c>
      <c r="T1272" s="5">
        <v>2837.58</v>
      </c>
      <c r="U1272" s="5">
        <v>1223.56</v>
      </c>
      <c r="V1272" s="5">
        <v>1129.92</v>
      </c>
      <c r="W1272" s="3">
        <v>484.1</v>
      </c>
    </row>
    <row r="1273" spans="1:23" ht="36.75">
      <c r="A1273" s="3" t="s">
        <v>23</v>
      </c>
      <c r="B1273" s="3" t="s">
        <v>24</v>
      </c>
      <c r="C1273" s="3" t="s">
        <v>35</v>
      </c>
      <c r="D1273" s="3" t="s">
        <v>48</v>
      </c>
      <c r="E1273" s="3" t="s">
        <v>33</v>
      </c>
      <c r="F1273" s="3" t="s">
        <v>212</v>
      </c>
      <c r="G1273" s="3">
        <v>2016</v>
      </c>
      <c r="H1273" s="3" t="str">
        <f>CONCATENATE("64240764551")</f>
        <v>64240764551</v>
      </c>
      <c r="I1273" s="3" t="s">
        <v>25</v>
      </c>
      <c r="J1273" s="3" t="s">
        <v>26</v>
      </c>
      <c r="K1273" s="3" t="str">
        <f t="shared" si="43"/>
        <v/>
      </c>
      <c r="L1273" s="3" t="str">
        <f>CONCATENATE("11 11.2 4b")</f>
        <v>11 11.2 4b</v>
      </c>
      <c r="M1273" s="3" t="str">
        <f>CONCATENATE("01724630437")</f>
        <v>01724630437</v>
      </c>
      <c r="N1273" s="3" t="s">
        <v>1342</v>
      </c>
      <c r="O1273" s="3"/>
      <c r="P1273" s="4">
        <v>42783</v>
      </c>
      <c r="Q1273" s="3" t="s">
        <v>27</v>
      </c>
      <c r="R1273" s="3" t="s">
        <v>28</v>
      </c>
      <c r="S1273" s="3" t="s">
        <v>29</v>
      </c>
      <c r="T1273" s="5">
        <v>6935.48</v>
      </c>
      <c r="U1273" s="5">
        <v>2990.58</v>
      </c>
      <c r="V1273" s="5">
        <v>2761.71</v>
      </c>
      <c r="W1273" s="5">
        <v>1183.19</v>
      </c>
    </row>
    <row r="1274" spans="1:23" ht="36.75">
      <c r="A1274" s="3" t="s">
        <v>23</v>
      </c>
      <c r="B1274" s="3" t="s">
        <v>24</v>
      </c>
      <c r="C1274" s="3" t="s">
        <v>35</v>
      </c>
      <c r="D1274" s="3" t="s">
        <v>48</v>
      </c>
      <c r="E1274" s="3" t="s">
        <v>30</v>
      </c>
      <c r="F1274" s="3" t="s">
        <v>157</v>
      </c>
      <c r="G1274" s="3">
        <v>2016</v>
      </c>
      <c r="H1274" s="3" t="str">
        <f>CONCATENATE("64240761656")</f>
        <v>64240761656</v>
      </c>
      <c r="I1274" s="3" t="s">
        <v>25</v>
      </c>
      <c r="J1274" s="3" t="s">
        <v>26</v>
      </c>
      <c r="K1274" s="3" t="str">
        <f t="shared" si="43"/>
        <v/>
      </c>
      <c r="L1274" s="3" t="str">
        <f>CONCATENATE("11 11.1 4b")</f>
        <v>11 11.1 4b</v>
      </c>
      <c r="M1274" s="3" t="str">
        <f>CONCATENATE("00604070433")</f>
        <v>00604070433</v>
      </c>
      <c r="N1274" s="3" t="s">
        <v>1343</v>
      </c>
      <c r="O1274" s="3"/>
      <c r="P1274" s="4">
        <v>42783</v>
      </c>
      <c r="Q1274" s="3" t="s">
        <v>27</v>
      </c>
      <c r="R1274" s="3" t="s">
        <v>28</v>
      </c>
      <c r="S1274" s="3" t="s">
        <v>29</v>
      </c>
      <c r="T1274" s="5">
        <v>1892.57</v>
      </c>
      <c r="U1274" s="3">
        <v>816.08</v>
      </c>
      <c r="V1274" s="3">
        <v>753.62</v>
      </c>
      <c r="W1274" s="3">
        <v>322.87</v>
      </c>
    </row>
    <row r="1275" spans="1:23" ht="36.75">
      <c r="A1275" s="3" t="s">
        <v>23</v>
      </c>
      <c r="B1275" s="3" t="s">
        <v>24</v>
      </c>
      <c r="C1275" s="3" t="s">
        <v>35</v>
      </c>
      <c r="D1275" s="3" t="s">
        <v>43</v>
      </c>
      <c r="E1275" s="3" t="s">
        <v>30</v>
      </c>
      <c r="F1275" s="3" t="s">
        <v>124</v>
      </c>
      <c r="G1275" s="3">
        <v>2016</v>
      </c>
      <c r="H1275" s="3" t="str">
        <f>CONCATENATE("64240483061")</f>
        <v>64240483061</v>
      </c>
      <c r="I1275" s="3" t="s">
        <v>25</v>
      </c>
      <c r="J1275" s="3" t="s">
        <v>26</v>
      </c>
      <c r="K1275" s="3" t="str">
        <f t="shared" si="43"/>
        <v/>
      </c>
      <c r="L1275" s="3" t="str">
        <f>CONCATENATE("11 11.2 4b")</f>
        <v>11 11.2 4b</v>
      </c>
      <c r="M1275" s="3" t="str">
        <f>CONCATENATE("01337820417")</f>
        <v>01337820417</v>
      </c>
      <c r="N1275" s="3" t="s">
        <v>1344</v>
      </c>
      <c r="O1275" s="3"/>
      <c r="P1275" s="4">
        <v>42783</v>
      </c>
      <c r="Q1275" s="3" t="s">
        <v>27</v>
      </c>
      <c r="R1275" s="3" t="s">
        <v>28</v>
      </c>
      <c r="S1275" s="3" t="s">
        <v>29</v>
      </c>
      <c r="T1275" s="5">
        <v>20808.939999999999</v>
      </c>
      <c r="U1275" s="5">
        <v>8972.81</v>
      </c>
      <c r="V1275" s="5">
        <v>8286.1200000000008</v>
      </c>
      <c r="W1275" s="5">
        <v>3550.01</v>
      </c>
    </row>
    <row r="1276" spans="1:23" ht="60.75">
      <c r="A1276" s="3" t="s">
        <v>23</v>
      </c>
      <c r="B1276" s="3" t="s">
        <v>24</v>
      </c>
      <c r="C1276" s="3" t="s">
        <v>35</v>
      </c>
      <c r="D1276" s="3" t="s">
        <v>48</v>
      </c>
      <c r="E1276" s="3" t="s">
        <v>30</v>
      </c>
      <c r="F1276" s="3" t="s">
        <v>91</v>
      </c>
      <c r="G1276" s="3">
        <v>2016</v>
      </c>
      <c r="H1276" s="3" t="str">
        <f>CONCATENATE("64210525982")</f>
        <v>64210525982</v>
      </c>
      <c r="I1276" s="3" t="s">
        <v>25</v>
      </c>
      <c r="J1276" s="3" t="s">
        <v>26</v>
      </c>
      <c r="K1276" s="3" t="str">
        <f t="shared" si="43"/>
        <v/>
      </c>
      <c r="L1276" s="3" t="str">
        <f>CONCATENATE("13 13.1 4a")</f>
        <v>13 13.1 4a</v>
      </c>
      <c r="M1276" s="3" t="str">
        <f>CONCATENATE("PZZPTR34A27C267C")</f>
        <v>PZZPTR34A27C267C</v>
      </c>
      <c r="N1276" s="3" t="s">
        <v>1345</v>
      </c>
      <c r="O1276" s="3"/>
      <c r="P1276" s="4">
        <v>42783</v>
      </c>
      <c r="Q1276" s="3" t="s">
        <v>27</v>
      </c>
      <c r="R1276" s="3" t="s">
        <v>28</v>
      </c>
      <c r="S1276" s="3" t="s">
        <v>29</v>
      </c>
      <c r="T1276" s="5">
        <v>4590</v>
      </c>
      <c r="U1276" s="5">
        <v>1979.21</v>
      </c>
      <c r="V1276" s="5">
        <v>1827.74</v>
      </c>
      <c r="W1276" s="3">
        <v>783.05</v>
      </c>
    </row>
    <row r="1277" spans="1:23" ht="60.75">
      <c r="A1277" s="3" t="s">
        <v>23</v>
      </c>
      <c r="B1277" s="3" t="s">
        <v>24</v>
      </c>
      <c r="C1277" s="3" t="s">
        <v>35</v>
      </c>
      <c r="D1277" s="3" t="s">
        <v>43</v>
      </c>
      <c r="E1277" s="3" t="s">
        <v>30</v>
      </c>
      <c r="F1277" s="3" t="s">
        <v>113</v>
      </c>
      <c r="G1277" s="3">
        <v>2016</v>
      </c>
      <c r="H1277" s="3" t="str">
        <f>CONCATENATE("64210703050")</f>
        <v>64210703050</v>
      </c>
      <c r="I1277" s="3" t="s">
        <v>25</v>
      </c>
      <c r="J1277" s="3" t="s">
        <v>26</v>
      </c>
      <c r="K1277" s="3" t="str">
        <f t="shared" si="43"/>
        <v/>
      </c>
      <c r="L1277" s="3" t="str">
        <f>CONCATENATE("13 13.1 4a")</f>
        <v>13 13.1 4a</v>
      </c>
      <c r="M1277" s="3" t="str">
        <f>CONCATENATE("CLNLRA76P47L500X")</f>
        <v>CLNLRA76P47L500X</v>
      </c>
      <c r="N1277" s="3" t="s">
        <v>1346</v>
      </c>
      <c r="O1277" s="3"/>
      <c r="P1277" s="4">
        <v>42783</v>
      </c>
      <c r="Q1277" s="3" t="s">
        <v>27</v>
      </c>
      <c r="R1277" s="3" t="s">
        <v>28</v>
      </c>
      <c r="S1277" s="3" t="s">
        <v>29</v>
      </c>
      <c r="T1277" s="5">
        <v>3629.51</v>
      </c>
      <c r="U1277" s="5">
        <v>1565.04</v>
      </c>
      <c r="V1277" s="5">
        <v>1445.27</v>
      </c>
      <c r="W1277" s="3">
        <v>619.20000000000005</v>
      </c>
    </row>
    <row r="1278" spans="1:23" ht="60.75">
      <c r="A1278" s="3" t="s">
        <v>23</v>
      </c>
      <c r="B1278" s="3" t="s">
        <v>24</v>
      </c>
      <c r="C1278" s="3" t="s">
        <v>35</v>
      </c>
      <c r="D1278" s="3" t="s">
        <v>43</v>
      </c>
      <c r="E1278" s="3" t="s">
        <v>30</v>
      </c>
      <c r="F1278" s="3" t="s">
        <v>104</v>
      </c>
      <c r="G1278" s="3">
        <v>2016</v>
      </c>
      <c r="H1278" s="3" t="str">
        <f>CONCATENATE("64210930141")</f>
        <v>64210930141</v>
      </c>
      <c r="I1278" s="3" t="s">
        <v>25</v>
      </c>
      <c r="J1278" s="3" t="s">
        <v>26</v>
      </c>
      <c r="K1278" s="3" t="str">
        <f t="shared" si="43"/>
        <v/>
      </c>
      <c r="L1278" s="3" t="str">
        <f>CONCATENATE("13 13.1 4a")</f>
        <v>13 13.1 4a</v>
      </c>
      <c r="M1278" s="3" t="str">
        <f>CONCATENATE("CLNLVN48B24L500T")</f>
        <v>CLNLVN48B24L500T</v>
      </c>
      <c r="N1278" s="3" t="s">
        <v>1347</v>
      </c>
      <c r="O1278" s="3"/>
      <c r="P1278" s="4">
        <v>42783</v>
      </c>
      <c r="Q1278" s="3" t="s">
        <v>27</v>
      </c>
      <c r="R1278" s="3" t="s">
        <v>28</v>
      </c>
      <c r="S1278" s="3" t="s">
        <v>29</v>
      </c>
      <c r="T1278" s="3">
        <v>637.94000000000005</v>
      </c>
      <c r="U1278" s="3">
        <v>275.08</v>
      </c>
      <c r="V1278" s="3">
        <v>254.03</v>
      </c>
      <c r="W1278" s="3">
        <v>108.83</v>
      </c>
    </row>
    <row r="1279" spans="1:23" ht="60.75">
      <c r="A1279" s="3" t="s">
        <v>23</v>
      </c>
      <c r="B1279" s="3" t="s">
        <v>24</v>
      </c>
      <c r="C1279" s="3" t="s">
        <v>35</v>
      </c>
      <c r="D1279" s="3" t="s">
        <v>36</v>
      </c>
      <c r="E1279" s="3" t="s">
        <v>30</v>
      </c>
      <c r="F1279" s="3" t="s">
        <v>37</v>
      </c>
      <c r="G1279" s="3">
        <v>2016</v>
      </c>
      <c r="H1279" s="3" t="str">
        <f>CONCATENATE("64210581670")</f>
        <v>64210581670</v>
      </c>
      <c r="I1279" s="3" t="s">
        <v>25</v>
      </c>
      <c r="J1279" s="3" t="s">
        <v>26</v>
      </c>
      <c r="K1279" s="3" t="str">
        <f t="shared" si="43"/>
        <v/>
      </c>
      <c r="L1279" s="3" t="str">
        <f>CONCATENATE("13 13.1 4a")</f>
        <v>13 13.1 4a</v>
      </c>
      <c r="M1279" s="3" t="str">
        <f>CONCATENATE("MRNRND70T23F509S")</f>
        <v>MRNRND70T23F509S</v>
      </c>
      <c r="N1279" s="3" t="s">
        <v>1348</v>
      </c>
      <c r="O1279" s="3"/>
      <c r="P1279" s="4">
        <v>42783</v>
      </c>
      <c r="Q1279" s="3" t="s">
        <v>27</v>
      </c>
      <c r="R1279" s="3" t="s">
        <v>28</v>
      </c>
      <c r="S1279" s="3" t="s">
        <v>29</v>
      </c>
      <c r="T1279" s="3">
        <v>365.81</v>
      </c>
      <c r="U1279" s="3">
        <v>157.74</v>
      </c>
      <c r="V1279" s="3">
        <v>145.66999999999999</v>
      </c>
      <c r="W1279" s="3">
        <v>62.4</v>
      </c>
    </row>
    <row r="1280" spans="1:23" ht="60.75">
      <c r="A1280" s="3" t="s">
        <v>23</v>
      </c>
      <c r="B1280" s="3" t="s">
        <v>24</v>
      </c>
      <c r="C1280" s="3" t="s">
        <v>35</v>
      </c>
      <c r="D1280" s="3" t="s">
        <v>43</v>
      </c>
      <c r="E1280" s="3" t="s">
        <v>32</v>
      </c>
      <c r="F1280" s="3" t="s">
        <v>119</v>
      </c>
      <c r="G1280" s="3">
        <v>2016</v>
      </c>
      <c r="H1280" s="3" t="str">
        <f>CONCATENATE("64240363198")</f>
        <v>64240363198</v>
      </c>
      <c r="I1280" s="3" t="s">
        <v>25</v>
      </c>
      <c r="J1280" s="3" t="s">
        <v>26</v>
      </c>
      <c r="K1280" s="3" t="str">
        <f t="shared" si="43"/>
        <v/>
      </c>
      <c r="L1280" s="3" t="str">
        <f>CONCATENATE("10 10.1 4a")</f>
        <v>10 10.1 4a</v>
      </c>
      <c r="M1280" s="3" t="str">
        <f>CONCATENATE("BNFDNT65T28D007O")</f>
        <v>BNFDNT65T28D007O</v>
      </c>
      <c r="N1280" s="3" t="s">
        <v>1349</v>
      </c>
      <c r="O1280" s="3"/>
      <c r="P1280" s="4">
        <v>42783</v>
      </c>
      <c r="Q1280" s="3" t="s">
        <v>27</v>
      </c>
      <c r="R1280" s="3" t="s">
        <v>28</v>
      </c>
      <c r="S1280" s="3" t="s">
        <v>29</v>
      </c>
      <c r="T1280" s="3">
        <v>473.47</v>
      </c>
      <c r="U1280" s="3">
        <v>204.16</v>
      </c>
      <c r="V1280" s="3">
        <v>188.54</v>
      </c>
      <c r="W1280" s="3">
        <v>80.77</v>
      </c>
    </row>
    <row r="1281" spans="1:23" ht="60.75">
      <c r="A1281" s="3" t="s">
        <v>23</v>
      </c>
      <c r="B1281" s="3" t="s">
        <v>24</v>
      </c>
      <c r="C1281" s="3" t="s">
        <v>35</v>
      </c>
      <c r="D1281" s="3" t="s">
        <v>48</v>
      </c>
      <c r="E1281" s="3" t="s">
        <v>33</v>
      </c>
      <c r="F1281" s="3" t="s">
        <v>160</v>
      </c>
      <c r="G1281" s="3">
        <v>2016</v>
      </c>
      <c r="H1281" s="3" t="str">
        <f>CONCATENATE("64210729568")</f>
        <v>64210729568</v>
      </c>
      <c r="I1281" s="3" t="s">
        <v>25</v>
      </c>
      <c r="J1281" s="3" t="s">
        <v>26</v>
      </c>
      <c r="K1281" s="3" t="str">
        <f t="shared" si="43"/>
        <v/>
      </c>
      <c r="L1281" s="3" t="str">
        <f>CONCATENATE("13 13.1 4a")</f>
        <v>13 13.1 4a</v>
      </c>
      <c r="M1281" s="3" t="str">
        <f>CONCATENATE("BNFSFN76L30I403V")</f>
        <v>BNFSFN76L30I403V</v>
      </c>
      <c r="N1281" s="3" t="s">
        <v>1350</v>
      </c>
      <c r="O1281" s="3"/>
      <c r="P1281" s="4">
        <v>42783</v>
      </c>
      <c r="Q1281" s="3" t="s">
        <v>27</v>
      </c>
      <c r="R1281" s="3" t="s">
        <v>28</v>
      </c>
      <c r="S1281" s="3" t="s">
        <v>29</v>
      </c>
      <c r="T1281" s="5">
        <v>3992.48</v>
      </c>
      <c r="U1281" s="5">
        <v>1721.56</v>
      </c>
      <c r="V1281" s="5">
        <v>1589.81</v>
      </c>
      <c r="W1281" s="3">
        <v>681.11</v>
      </c>
    </row>
    <row r="1282" spans="1:23" ht="60.75">
      <c r="A1282" s="3" t="s">
        <v>23</v>
      </c>
      <c r="B1282" s="3" t="s">
        <v>24</v>
      </c>
      <c r="C1282" s="3" t="s">
        <v>35</v>
      </c>
      <c r="D1282" s="3" t="s">
        <v>36</v>
      </c>
      <c r="E1282" s="3" t="s">
        <v>32</v>
      </c>
      <c r="F1282" s="3" t="s">
        <v>179</v>
      </c>
      <c r="G1282" s="3">
        <v>2016</v>
      </c>
      <c r="H1282" s="3" t="str">
        <f>CONCATENATE("64240647566")</f>
        <v>64240647566</v>
      </c>
      <c r="I1282" s="3" t="s">
        <v>25</v>
      </c>
      <c r="J1282" s="3" t="s">
        <v>26</v>
      </c>
      <c r="K1282" s="3" t="str">
        <f t="shared" si="43"/>
        <v/>
      </c>
      <c r="L1282" s="3" t="str">
        <f>CONCATENATE("10 10.1 4b")</f>
        <v>10 10.1 4b</v>
      </c>
      <c r="M1282" s="3" t="str">
        <f>CONCATENATE("MNTTZN65M09F415F")</f>
        <v>MNTTZN65M09F415F</v>
      </c>
      <c r="N1282" s="3" t="s">
        <v>1351</v>
      </c>
      <c r="O1282" s="3"/>
      <c r="P1282" s="4">
        <v>42783</v>
      </c>
      <c r="Q1282" s="3" t="s">
        <v>27</v>
      </c>
      <c r="R1282" s="3" t="s">
        <v>28</v>
      </c>
      <c r="S1282" s="3" t="s">
        <v>29</v>
      </c>
      <c r="T1282" s="5">
        <v>2682.04</v>
      </c>
      <c r="U1282" s="5">
        <v>1156.5</v>
      </c>
      <c r="V1282" s="5">
        <v>1067.99</v>
      </c>
      <c r="W1282" s="3">
        <v>457.55</v>
      </c>
    </row>
    <row r="1283" spans="1:23" ht="36.75">
      <c r="A1283" s="3" t="s">
        <v>23</v>
      </c>
      <c r="B1283" s="3" t="s">
        <v>24</v>
      </c>
      <c r="C1283" s="3" t="s">
        <v>35</v>
      </c>
      <c r="D1283" s="3" t="s">
        <v>39</v>
      </c>
      <c r="E1283" s="3" t="s">
        <v>34</v>
      </c>
      <c r="F1283" s="3" t="s">
        <v>170</v>
      </c>
      <c r="G1283" s="3">
        <v>2016</v>
      </c>
      <c r="H1283" s="3" t="str">
        <f>CONCATENATE("64240658415")</f>
        <v>64240658415</v>
      </c>
      <c r="I1283" s="3" t="s">
        <v>25</v>
      </c>
      <c r="J1283" s="3" t="s">
        <v>26</v>
      </c>
      <c r="K1283" s="3" t="str">
        <f t="shared" si="43"/>
        <v/>
      </c>
      <c r="L1283" s="3" t="str">
        <f>CONCATENATE("11 11.2 4b")</f>
        <v>11 11.2 4b</v>
      </c>
      <c r="M1283" s="3" t="str">
        <f>CONCATENATE("82002390423")</f>
        <v>82002390423</v>
      </c>
      <c r="N1283" s="3" t="s">
        <v>1352</v>
      </c>
      <c r="O1283" s="3"/>
      <c r="P1283" s="4">
        <v>42783</v>
      </c>
      <c r="Q1283" s="3" t="s">
        <v>27</v>
      </c>
      <c r="R1283" s="3" t="s">
        <v>28</v>
      </c>
      <c r="S1283" s="3" t="s">
        <v>29</v>
      </c>
      <c r="T1283" s="5">
        <v>2554.2600000000002</v>
      </c>
      <c r="U1283" s="5">
        <v>1101.4000000000001</v>
      </c>
      <c r="V1283" s="5">
        <v>1017.11</v>
      </c>
      <c r="W1283" s="3">
        <v>435.75</v>
      </c>
    </row>
    <row r="1284" spans="1:23" ht="60.75">
      <c r="A1284" s="3" t="s">
        <v>23</v>
      </c>
      <c r="B1284" s="3" t="s">
        <v>24</v>
      </c>
      <c r="C1284" s="3" t="s">
        <v>35</v>
      </c>
      <c r="D1284" s="3" t="s">
        <v>36</v>
      </c>
      <c r="E1284" s="3" t="s">
        <v>30</v>
      </c>
      <c r="F1284" s="3" t="s">
        <v>37</v>
      </c>
      <c r="G1284" s="3">
        <v>2016</v>
      </c>
      <c r="H1284" s="3" t="str">
        <f>CONCATENATE("64210619025")</f>
        <v>64210619025</v>
      </c>
      <c r="I1284" s="3" t="s">
        <v>25</v>
      </c>
      <c r="J1284" s="3" t="s">
        <v>26</v>
      </c>
      <c r="K1284" s="3" t="str">
        <f t="shared" si="43"/>
        <v/>
      </c>
      <c r="L1284" s="3" t="str">
        <f>CONCATENATE("13 13.1 4a")</f>
        <v>13 13.1 4a</v>
      </c>
      <c r="M1284" s="3" t="str">
        <f>CONCATENATE("NGLGNN35E21D691P")</f>
        <v>NGLGNN35E21D691P</v>
      </c>
      <c r="N1284" s="3" t="s">
        <v>1353</v>
      </c>
      <c r="O1284" s="3"/>
      <c r="P1284" s="4">
        <v>42783</v>
      </c>
      <c r="Q1284" s="3" t="s">
        <v>27</v>
      </c>
      <c r="R1284" s="3" t="s">
        <v>28</v>
      </c>
      <c r="S1284" s="3" t="s">
        <v>29</v>
      </c>
      <c r="T1284" s="5">
        <v>1415.69</v>
      </c>
      <c r="U1284" s="3">
        <v>610.45000000000005</v>
      </c>
      <c r="V1284" s="3">
        <v>563.73</v>
      </c>
      <c r="W1284" s="3">
        <v>241.51</v>
      </c>
    </row>
    <row r="1285" spans="1:23" ht="36.75">
      <c r="A1285" s="3" t="s">
        <v>23</v>
      </c>
      <c r="B1285" s="3" t="s">
        <v>24</v>
      </c>
      <c r="C1285" s="3" t="s">
        <v>35</v>
      </c>
      <c r="D1285" s="3" t="s">
        <v>48</v>
      </c>
      <c r="E1285" s="3" t="s">
        <v>34</v>
      </c>
      <c r="F1285" s="3" t="s">
        <v>141</v>
      </c>
      <c r="G1285" s="3">
        <v>2016</v>
      </c>
      <c r="H1285" s="3" t="str">
        <f>CONCATENATE("64240739421")</f>
        <v>64240739421</v>
      </c>
      <c r="I1285" s="3" t="s">
        <v>25</v>
      </c>
      <c r="J1285" s="3" t="s">
        <v>26</v>
      </c>
      <c r="K1285" s="3" t="str">
        <f t="shared" si="43"/>
        <v/>
      </c>
      <c r="L1285" s="3" t="str">
        <f>CONCATENATE("11 11.2 4b")</f>
        <v>11 11.2 4b</v>
      </c>
      <c r="M1285" s="3" t="str">
        <f>CONCATENATE("00121480438")</f>
        <v>00121480438</v>
      </c>
      <c r="N1285" s="3" t="s">
        <v>1354</v>
      </c>
      <c r="O1285" s="3"/>
      <c r="P1285" s="4">
        <v>42783</v>
      </c>
      <c r="Q1285" s="3" t="s">
        <v>27</v>
      </c>
      <c r="R1285" s="3" t="s">
        <v>28</v>
      </c>
      <c r="S1285" s="3" t="s">
        <v>29</v>
      </c>
      <c r="T1285" s="5">
        <v>4891.58</v>
      </c>
      <c r="U1285" s="5">
        <v>2109.25</v>
      </c>
      <c r="V1285" s="5">
        <v>1947.83</v>
      </c>
      <c r="W1285" s="3">
        <v>834.5</v>
      </c>
    </row>
    <row r="1286" spans="1:23" ht="60.75">
      <c r="A1286" s="3" t="s">
        <v>23</v>
      </c>
      <c r="B1286" s="3" t="s">
        <v>24</v>
      </c>
      <c r="C1286" s="3" t="s">
        <v>35</v>
      </c>
      <c r="D1286" s="3" t="s">
        <v>36</v>
      </c>
      <c r="E1286" s="3" t="s">
        <v>32</v>
      </c>
      <c r="F1286" s="3" t="s">
        <v>208</v>
      </c>
      <c r="G1286" s="3">
        <v>2016</v>
      </c>
      <c r="H1286" s="3" t="str">
        <f>CONCATENATE("64240302154")</f>
        <v>64240302154</v>
      </c>
      <c r="I1286" s="3" t="s">
        <v>25</v>
      </c>
      <c r="J1286" s="3" t="s">
        <v>26</v>
      </c>
      <c r="K1286" s="3" t="str">
        <f t="shared" si="43"/>
        <v/>
      </c>
      <c r="L1286" s="3" t="str">
        <f>CONCATENATE("11 11.2 4b")</f>
        <v>11 11.2 4b</v>
      </c>
      <c r="M1286" s="3" t="str">
        <f>CONCATENATE("VGNNMR54S54C321I")</f>
        <v>VGNNMR54S54C321I</v>
      </c>
      <c r="N1286" s="3" t="s">
        <v>1355</v>
      </c>
      <c r="O1286" s="3"/>
      <c r="P1286" s="4">
        <v>42783</v>
      </c>
      <c r="Q1286" s="3" t="s">
        <v>27</v>
      </c>
      <c r="R1286" s="3" t="s">
        <v>28</v>
      </c>
      <c r="S1286" s="3" t="s">
        <v>29</v>
      </c>
      <c r="T1286" s="3">
        <v>909.1</v>
      </c>
      <c r="U1286" s="3">
        <v>392</v>
      </c>
      <c r="V1286" s="3">
        <v>362</v>
      </c>
      <c r="W1286" s="3">
        <v>155.1</v>
      </c>
    </row>
    <row r="1287" spans="1:23" ht="36.75">
      <c r="A1287" s="3" t="s">
        <v>23</v>
      </c>
      <c r="B1287" s="3" t="s">
        <v>24</v>
      </c>
      <c r="C1287" s="3" t="s">
        <v>35</v>
      </c>
      <c r="D1287" s="3" t="s">
        <v>36</v>
      </c>
      <c r="E1287" s="3" t="s">
        <v>59</v>
      </c>
      <c r="F1287" s="3" t="s">
        <v>62</v>
      </c>
      <c r="G1287" s="3">
        <v>2016</v>
      </c>
      <c r="H1287" s="3" t="str">
        <f>CONCATENATE("64240216602")</f>
        <v>64240216602</v>
      </c>
      <c r="I1287" s="3" t="s">
        <v>25</v>
      </c>
      <c r="J1287" s="3" t="s">
        <v>26</v>
      </c>
      <c r="K1287" s="3" t="str">
        <f t="shared" si="43"/>
        <v/>
      </c>
      <c r="L1287" s="3" t="str">
        <f>CONCATENATE("11 11.2 4b")</f>
        <v>11 11.2 4b</v>
      </c>
      <c r="M1287" s="3" t="str">
        <f>CONCATENATE("01985600442")</f>
        <v>01985600442</v>
      </c>
      <c r="N1287" s="3" t="s">
        <v>1356</v>
      </c>
      <c r="O1287" s="3"/>
      <c r="P1287" s="4">
        <v>42783</v>
      </c>
      <c r="Q1287" s="3" t="s">
        <v>27</v>
      </c>
      <c r="R1287" s="3" t="s">
        <v>28</v>
      </c>
      <c r="S1287" s="3" t="s">
        <v>29</v>
      </c>
      <c r="T1287" s="5">
        <v>15179.54</v>
      </c>
      <c r="U1287" s="5">
        <v>6545.42</v>
      </c>
      <c r="V1287" s="5">
        <v>6044.49</v>
      </c>
      <c r="W1287" s="5">
        <v>2589.63</v>
      </c>
    </row>
    <row r="1288" spans="1:23" ht="60.75">
      <c r="A1288" s="3" t="s">
        <v>23</v>
      </c>
      <c r="B1288" s="3" t="s">
        <v>24</v>
      </c>
      <c r="C1288" s="3" t="s">
        <v>35</v>
      </c>
      <c r="D1288" s="3" t="s">
        <v>48</v>
      </c>
      <c r="E1288" s="3" t="s">
        <v>30</v>
      </c>
      <c r="F1288" s="3" t="s">
        <v>57</v>
      </c>
      <c r="G1288" s="3">
        <v>2016</v>
      </c>
      <c r="H1288" s="3" t="str">
        <f>CONCATENATE("64240505962")</f>
        <v>64240505962</v>
      </c>
      <c r="I1288" s="3" t="s">
        <v>25</v>
      </c>
      <c r="J1288" s="3" t="s">
        <v>26</v>
      </c>
      <c r="K1288" s="3" t="str">
        <f t="shared" si="43"/>
        <v/>
      </c>
      <c r="L1288" s="3" t="str">
        <f>CONCATENATE("11 11.2 4b")</f>
        <v>11 11.2 4b</v>
      </c>
      <c r="M1288" s="3" t="str">
        <f>CONCATENATE("FSTZEI77D09E783T")</f>
        <v>FSTZEI77D09E783T</v>
      </c>
      <c r="N1288" s="3" t="s">
        <v>1357</v>
      </c>
      <c r="O1288" s="3"/>
      <c r="P1288" s="4">
        <v>42783</v>
      </c>
      <c r="Q1288" s="3" t="s">
        <v>27</v>
      </c>
      <c r="R1288" s="3" t="s">
        <v>28</v>
      </c>
      <c r="S1288" s="3" t="s">
        <v>29</v>
      </c>
      <c r="T1288" s="3">
        <v>318.41000000000003</v>
      </c>
      <c r="U1288" s="3">
        <v>137.30000000000001</v>
      </c>
      <c r="V1288" s="3">
        <v>126.79</v>
      </c>
      <c r="W1288" s="3">
        <v>54.32</v>
      </c>
    </row>
    <row r="1289" spans="1:23" ht="60.75">
      <c r="A1289" s="3" t="s">
        <v>23</v>
      </c>
      <c r="B1289" s="3" t="s">
        <v>24</v>
      </c>
      <c r="C1289" s="3" t="s">
        <v>35</v>
      </c>
      <c r="D1289" s="3" t="s">
        <v>43</v>
      </c>
      <c r="E1289" s="3" t="s">
        <v>30</v>
      </c>
      <c r="F1289" s="3" t="s">
        <v>76</v>
      </c>
      <c r="G1289" s="3">
        <v>2016</v>
      </c>
      <c r="H1289" s="3" t="str">
        <f>CONCATENATE("64210140196")</f>
        <v>64210140196</v>
      </c>
      <c r="I1289" s="3" t="s">
        <v>31</v>
      </c>
      <c r="J1289" s="3" t="s">
        <v>26</v>
      </c>
      <c r="K1289" s="3" t="str">
        <f t="shared" si="43"/>
        <v/>
      </c>
      <c r="L1289" s="3" t="str">
        <f>CONCATENATE("13 13.1 4a")</f>
        <v>13 13.1 4a</v>
      </c>
      <c r="M1289" s="3" t="str">
        <f>CONCATENATE("MRAGNI29T10E743C")</f>
        <v>MRAGNI29T10E743C</v>
      </c>
      <c r="N1289" s="3" t="s">
        <v>1358</v>
      </c>
      <c r="O1289" s="3"/>
      <c r="P1289" s="4">
        <v>42783</v>
      </c>
      <c r="Q1289" s="3" t="s">
        <v>27</v>
      </c>
      <c r="R1289" s="3" t="s">
        <v>28</v>
      </c>
      <c r="S1289" s="3" t="s">
        <v>29</v>
      </c>
      <c r="T1289" s="5">
        <v>1341.02</v>
      </c>
      <c r="U1289" s="3">
        <v>578.25</v>
      </c>
      <c r="V1289" s="3">
        <v>533.99</v>
      </c>
      <c r="W1289" s="3">
        <v>228.78</v>
      </c>
    </row>
    <row r="1290" spans="1:23" ht="60.75">
      <c r="A1290" s="3" t="s">
        <v>23</v>
      </c>
      <c r="B1290" s="3" t="s">
        <v>24</v>
      </c>
      <c r="C1290" s="3" t="s">
        <v>35</v>
      </c>
      <c r="D1290" s="3" t="s">
        <v>36</v>
      </c>
      <c r="E1290" s="3" t="s">
        <v>30</v>
      </c>
      <c r="F1290" s="3" t="s">
        <v>53</v>
      </c>
      <c r="G1290" s="3">
        <v>2016</v>
      </c>
      <c r="H1290" s="3" t="str">
        <f>CONCATENATE("64240302048")</f>
        <v>64240302048</v>
      </c>
      <c r="I1290" s="3" t="s">
        <v>25</v>
      </c>
      <c r="J1290" s="3" t="s">
        <v>26</v>
      </c>
      <c r="K1290" s="3" t="str">
        <f t="shared" si="43"/>
        <v/>
      </c>
      <c r="L1290" s="3" t="str">
        <f>CONCATENATE("11 11.2 4b")</f>
        <v>11 11.2 4b</v>
      </c>
      <c r="M1290" s="3" t="str">
        <f>CONCATENATE("CLNLVO37M48F380R")</f>
        <v>CLNLVO37M48F380R</v>
      </c>
      <c r="N1290" s="3" t="s">
        <v>1359</v>
      </c>
      <c r="O1290" s="3"/>
      <c r="P1290" s="4">
        <v>42783</v>
      </c>
      <c r="Q1290" s="3" t="s">
        <v>27</v>
      </c>
      <c r="R1290" s="3" t="s">
        <v>28</v>
      </c>
      <c r="S1290" s="3" t="s">
        <v>29</v>
      </c>
      <c r="T1290" s="5">
        <v>2451.2600000000002</v>
      </c>
      <c r="U1290" s="5">
        <v>1056.98</v>
      </c>
      <c r="V1290" s="3">
        <v>976.09</v>
      </c>
      <c r="W1290" s="3">
        <v>418.19</v>
      </c>
    </row>
    <row r="1291" spans="1:23" ht="72.75">
      <c r="A1291" s="3" t="s">
        <v>23</v>
      </c>
      <c r="B1291" s="3" t="s">
        <v>24</v>
      </c>
      <c r="C1291" s="3" t="s">
        <v>35</v>
      </c>
      <c r="D1291" s="3" t="s">
        <v>48</v>
      </c>
      <c r="E1291" s="3" t="s">
        <v>30</v>
      </c>
      <c r="F1291" s="3" t="s">
        <v>40</v>
      </c>
      <c r="G1291" s="3">
        <v>2016</v>
      </c>
      <c r="H1291" s="3" t="str">
        <f>CONCATENATE("64240530747")</f>
        <v>64240530747</v>
      </c>
      <c r="I1291" s="3" t="s">
        <v>25</v>
      </c>
      <c r="J1291" s="3" t="s">
        <v>26</v>
      </c>
      <c r="K1291" s="3" t="str">
        <f t="shared" si="43"/>
        <v/>
      </c>
      <c r="L1291" s="3" t="str">
        <f>CONCATENATE("11 11.2 4b")</f>
        <v>11 11.2 4b</v>
      </c>
      <c r="M1291" s="3" t="str">
        <f>CONCATENATE("FCLNTN28A21A329B")</f>
        <v>FCLNTN28A21A329B</v>
      </c>
      <c r="N1291" s="3" t="s">
        <v>1360</v>
      </c>
      <c r="O1291" s="3"/>
      <c r="P1291" s="4">
        <v>42783</v>
      </c>
      <c r="Q1291" s="3" t="s">
        <v>27</v>
      </c>
      <c r="R1291" s="3" t="s">
        <v>28</v>
      </c>
      <c r="S1291" s="3" t="s">
        <v>29</v>
      </c>
      <c r="T1291" s="5">
        <v>3757.2</v>
      </c>
      <c r="U1291" s="5">
        <v>1620.1</v>
      </c>
      <c r="V1291" s="5">
        <v>1496.12</v>
      </c>
      <c r="W1291" s="3">
        <v>640.98</v>
      </c>
    </row>
    <row r="1292" spans="1:23" ht="60.75">
      <c r="A1292" s="3" t="s">
        <v>23</v>
      </c>
      <c r="B1292" s="3" t="s">
        <v>24</v>
      </c>
      <c r="C1292" s="3" t="s">
        <v>35</v>
      </c>
      <c r="D1292" s="3" t="s">
        <v>43</v>
      </c>
      <c r="E1292" s="3" t="s">
        <v>34</v>
      </c>
      <c r="F1292" s="3" t="s">
        <v>146</v>
      </c>
      <c r="G1292" s="3">
        <v>2016</v>
      </c>
      <c r="H1292" s="3" t="str">
        <f>CONCATENATE("64240153466")</f>
        <v>64240153466</v>
      </c>
      <c r="I1292" s="3" t="s">
        <v>25</v>
      </c>
      <c r="J1292" s="3" t="s">
        <v>26</v>
      </c>
      <c r="K1292" s="3" t="str">
        <f t="shared" si="43"/>
        <v/>
      </c>
      <c r="L1292" s="3" t="str">
        <f>CONCATENATE("11 11.2 4b")</f>
        <v>11 11.2 4b</v>
      </c>
      <c r="M1292" s="3" t="str">
        <f>CONCATENATE("LZUGPP56P22D488H")</f>
        <v>LZUGPP56P22D488H</v>
      </c>
      <c r="N1292" s="3" t="s">
        <v>1361</v>
      </c>
      <c r="O1292" s="3"/>
      <c r="P1292" s="4">
        <v>42783</v>
      </c>
      <c r="Q1292" s="3" t="s">
        <v>27</v>
      </c>
      <c r="R1292" s="3" t="s">
        <v>28</v>
      </c>
      <c r="S1292" s="3" t="s">
        <v>29</v>
      </c>
      <c r="T1292" s="5">
        <v>1370.63</v>
      </c>
      <c r="U1292" s="3">
        <v>591.02</v>
      </c>
      <c r="V1292" s="3">
        <v>545.78</v>
      </c>
      <c r="W1292" s="3">
        <v>233.83</v>
      </c>
    </row>
    <row r="1293" spans="1:23" ht="60.75">
      <c r="A1293" s="3" t="s">
        <v>23</v>
      </c>
      <c r="B1293" s="3" t="s">
        <v>24</v>
      </c>
      <c r="C1293" s="3" t="s">
        <v>35</v>
      </c>
      <c r="D1293" s="3" t="s">
        <v>36</v>
      </c>
      <c r="E1293" s="3" t="s">
        <v>30</v>
      </c>
      <c r="F1293" s="3" t="s">
        <v>37</v>
      </c>
      <c r="G1293" s="3">
        <v>2016</v>
      </c>
      <c r="H1293" s="3" t="str">
        <f>CONCATENATE("64240605812")</f>
        <v>64240605812</v>
      </c>
      <c r="I1293" s="3" t="s">
        <v>31</v>
      </c>
      <c r="J1293" s="3" t="s">
        <v>26</v>
      </c>
      <c r="K1293" s="3" t="str">
        <f t="shared" si="43"/>
        <v/>
      </c>
      <c r="L1293" s="3" t="str">
        <f>CONCATENATE("10 10.1 4b")</f>
        <v>10 10.1 4b</v>
      </c>
      <c r="M1293" s="3" t="str">
        <f>CONCATENATE("PRGMRA41P01F664Z")</f>
        <v>PRGMRA41P01F664Z</v>
      </c>
      <c r="N1293" s="3" t="s">
        <v>1362</v>
      </c>
      <c r="O1293" s="3"/>
      <c r="P1293" s="4">
        <v>42783</v>
      </c>
      <c r="Q1293" s="3" t="s">
        <v>27</v>
      </c>
      <c r="R1293" s="3" t="s">
        <v>28</v>
      </c>
      <c r="S1293" s="3" t="s">
        <v>29</v>
      </c>
      <c r="T1293" s="5">
        <v>4263.87</v>
      </c>
      <c r="U1293" s="5">
        <v>1838.58</v>
      </c>
      <c r="V1293" s="5">
        <v>1697.87</v>
      </c>
      <c r="W1293" s="3">
        <v>727.42</v>
      </c>
    </row>
    <row r="1294" spans="1:23" ht="36.75">
      <c r="A1294" s="3" t="s">
        <v>23</v>
      </c>
      <c r="B1294" s="3" t="s">
        <v>24</v>
      </c>
      <c r="C1294" s="3" t="s">
        <v>35</v>
      </c>
      <c r="D1294" s="3" t="s">
        <v>36</v>
      </c>
      <c r="E1294" s="3" t="s">
        <v>42</v>
      </c>
      <c r="F1294" s="3" t="s">
        <v>42</v>
      </c>
      <c r="G1294" s="3">
        <v>2016</v>
      </c>
      <c r="H1294" s="3" t="str">
        <f>CONCATENATE("64240301842")</f>
        <v>64240301842</v>
      </c>
      <c r="I1294" s="3" t="s">
        <v>25</v>
      </c>
      <c r="J1294" s="3" t="s">
        <v>26</v>
      </c>
      <c r="K1294" s="3" t="str">
        <f t="shared" si="43"/>
        <v/>
      </c>
      <c r="L1294" s="3" t="str">
        <f>CONCATENATE("11 11.2 4b")</f>
        <v>11 11.2 4b</v>
      </c>
      <c r="M1294" s="3" t="str">
        <f>CONCATENATE("00097830442")</f>
        <v>00097830442</v>
      </c>
      <c r="N1294" s="3" t="s">
        <v>1363</v>
      </c>
      <c r="O1294" s="3"/>
      <c r="P1294" s="4">
        <v>42783</v>
      </c>
      <c r="Q1294" s="3" t="s">
        <v>27</v>
      </c>
      <c r="R1294" s="3" t="s">
        <v>28</v>
      </c>
      <c r="S1294" s="3" t="s">
        <v>29</v>
      </c>
      <c r="T1294" s="5">
        <v>2827.43</v>
      </c>
      <c r="U1294" s="5">
        <v>1219.19</v>
      </c>
      <c r="V1294" s="5">
        <v>1125.8800000000001</v>
      </c>
      <c r="W1294" s="3">
        <v>482.36</v>
      </c>
    </row>
    <row r="1295" spans="1:23" ht="36.75">
      <c r="A1295" s="3" t="s">
        <v>23</v>
      </c>
      <c r="B1295" s="3" t="s">
        <v>24</v>
      </c>
      <c r="C1295" s="3" t="s">
        <v>35</v>
      </c>
      <c r="D1295" s="3" t="s">
        <v>36</v>
      </c>
      <c r="E1295" s="3" t="s">
        <v>59</v>
      </c>
      <c r="F1295" s="3" t="s">
        <v>62</v>
      </c>
      <c r="G1295" s="3">
        <v>2016</v>
      </c>
      <c r="H1295" s="3" t="str">
        <f>CONCATENATE("64240903779")</f>
        <v>64240903779</v>
      </c>
      <c r="I1295" s="3" t="s">
        <v>25</v>
      </c>
      <c r="J1295" s="3" t="s">
        <v>26</v>
      </c>
      <c r="K1295" s="3" t="str">
        <f t="shared" si="43"/>
        <v/>
      </c>
      <c r="L1295" s="3" t="str">
        <f>CONCATENATE("11 11.2 4b")</f>
        <v>11 11.2 4b</v>
      </c>
      <c r="M1295" s="3" t="str">
        <f>CONCATENATE("13157191001")</f>
        <v>13157191001</v>
      </c>
      <c r="N1295" s="3" t="s">
        <v>1364</v>
      </c>
      <c r="O1295" s="3"/>
      <c r="P1295" s="4">
        <v>42783</v>
      </c>
      <c r="Q1295" s="3" t="s">
        <v>27</v>
      </c>
      <c r="R1295" s="3" t="s">
        <v>28</v>
      </c>
      <c r="S1295" s="3" t="s">
        <v>29</v>
      </c>
      <c r="T1295" s="5">
        <v>5017.08</v>
      </c>
      <c r="U1295" s="5">
        <v>2163.36</v>
      </c>
      <c r="V1295" s="5">
        <v>1997.8</v>
      </c>
      <c r="W1295" s="3">
        <v>855.92</v>
      </c>
    </row>
    <row r="1296" spans="1:23" ht="72.75">
      <c r="A1296" s="3" t="s">
        <v>23</v>
      </c>
      <c r="B1296" s="3" t="s">
        <v>24</v>
      </c>
      <c r="C1296" s="3" t="s">
        <v>35</v>
      </c>
      <c r="D1296" s="3" t="s">
        <v>39</v>
      </c>
      <c r="E1296" s="3" t="s">
        <v>30</v>
      </c>
      <c r="F1296" s="3" t="s">
        <v>533</v>
      </c>
      <c r="G1296" s="3">
        <v>2016</v>
      </c>
      <c r="H1296" s="3" t="str">
        <f>CONCATENATE("64210982993")</f>
        <v>64210982993</v>
      </c>
      <c r="I1296" s="3" t="s">
        <v>25</v>
      </c>
      <c r="J1296" s="3" t="s">
        <v>26</v>
      </c>
      <c r="K1296" s="3" t="str">
        <f t="shared" si="43"/>
        <v/>
      </c>
      <c r="L1296" s="3" t="str">
        <f>CONCATENATE("13 13.1 4a")</f>
        <v>13 13.1 4a</v>
      </c>
      <c r="M1296" s="3" t="str">
        <f>CONCATENATE("FRNLGU39M02D965W")</f>
        <v>FRNLGU39M02D965W</v>
      </c>
      <c r="N1296" s="3" t="s">
        <v>1365</v>
      </c>
      <c r="O1296" s="3"/>
      <c r="P1296" s="4">
        <v>42783</v>
      </c>
      <c r="Q1296" s="3" t="s">
        <v>27</v>
      </c>
      <c r="R1296" s="3" t="s">
        <v>28</v>
      </c>
      <c r="S1296" s="3" t="s">
        <v>29</v>
      </c>
      <c r="T1296" s="3">
        <v>72.680000000000007</v>
      </c>
      <c r="U1296" s="3">
        <v>31.34</v>
      </c>
      <c r="V1296" s="3">
        <v>28.94</v>
      </c>
      <c r="W1296" s="3">
        <v>12.4</v>
      </c>
    </row>
    <row r="1297" spans="1:23" ht="60.75">
      <c r="A1297" s="3" t="s">
        <v>23</v>
      </c>
      <c r="B1297" s="3" t="s">
        <v>24</v>
      </c>
      <c r="C1297" s="3" t="s">
        <v>35</v>
      </c>
      <c r="D1297" s="3" t="s">
        <v>48</v>
      </c>
      <c r="E1297" s="3" t="s">
        <v>30</v>
      </c>
      <c r="F1297" s="3" t="s">
        <v>91</v>
      </c>
      <c r="G1297" s="3">
        <v>2016</v>
      </c>
      <c r="H1297" s="3" t="str">
        <f>CONCATENATE("64210511503")</f>
        <v>64210511503</v>
      </c>
      <c r="I1297" s="3" t="s">
        <v>25</v>
      </c>
      <c r="J1297" s="3" t="s">
        <v>26</v>
      </c>
      <c r="K1297" s="3" t="str">
        <f t="shared" si="43"/>
        <v/>
      </c>
      <c r="L1297" s="3" t="str">
        <f>CONCATENATE("13 13.1 4a")</f>
        <v>13 13.1 4a</v>
      </c>
      <c r="M1297" s="3" t="str">
        <f>CONCATENATE("SPEMHL55L21M078J")</f>
        <v>SPEMHL55L21M078J</v>
      </c>
      <c r="N1297" s="3" t="s">
        <v>1366</v>
      </c>
      <c r="O1297" s="3"/>
      <c r="P1297" s="4">
        <v>42783</v>
      </c>
      <c r="Q1297" s="3" t="s">
        <v>27</v>
      </c>
      <c r="R1297" s="3" t="s">
        <v>28</v>
      </c>
      <c r="S1297" s="3" t="s">
        <v>29</v>
      </c>
      <c r="T1297" s="5">
        <v>3102.28</v>
      </c>
      <c r="U1297" s="5">
        <v>1337.7</v>
      </c>
      <c r="V1297" s="5">
        <v>1235.33</v>
      </c>
      <c r="W1297" s="3">
        <v>529.25</v>
      </c>
    </row>
    <row r="1298" spans="1:23" ht="48.75">
      <c r="A1298" s="3" t="s">
        <v>23</v>
      </c>
      <c r="B1298" s="3" t="s">
        <v>24</v>
      </c>
      <c r="C1298" s="3" t="s">
        <v>35</v>
      </c>
      <c r="D1298" s="3" t="s">
        <v>43</v>
      </c>
      <c r="E1298" s="3" t="s">
        <v>30</v>
      </c>
      <c r="F1298" s="3" t="s">
        <v>76</v>
      </c>
      <c r="G1298" s="3">
        <v>2016</v>
      </c>
      <c r="H1298" s="3" t="str">
        <f>CONCATENATE("64210141822")</f>
        <v>64210141822</v>
      </c>
      <c r="I1298" s="3" t="s">
        <v>31</v>
      </c>
      <c r="J1298" s="3" t="s">
        <v>26</v>
      </c>
      <c r="K1298" s="3" t="str">
        <f t="shared" si="43"/>
        <v/>
      </c>
      <c r="L1298" s="3" t="str">
        <f>CONCATENATE("13 13.1 4a")</f>
        <v>13 13.1 4a</v>
      </c>
      <c r="M1298" s="3" t="str">
        <f>CONCATENATE("SLCVLR63E28F478C")</f>
        <v>SLCVLR63E28F478C</v>
      </c>
      <c r="N1298" s="3" t="s">
        <v>1367</v>
      </c>
      <c r="O1298" s="3"/>
      <c r="P1298" s="4">
        <v>42783</v>
      </c>
      <c r="Q1298" s="3" t="s">
        <v>27</v>
      </c>
      <c r="R1298" s="3" t="s">
        <v>28</v>
      </c>
      <c r="S1298" s="3" t="s">
        <v>29</v>
      </c>
      <c r="T1298" s="5">
        <v>1051.5999999999999</v>
      </c>
      <c r="U1298" s="3">
        <v>453.45</v>
      </c>
      <c r="V1298" s="3">
        <v>418.75</v>
      </c>
      <c r="W1298" s="3">
        <v>179.4</v>
      </c>
    </row>
    <row r="1299" spans="1:23" ht="60.75">
      <c r="A1299" s="3" t="s">
        <v>23</v>
      </c>
      <c r="B1299" s="3" t="s">
        <v>24</v>
      </c>
      <c r="C1299" s="3" t="s">
        <v>35</v>
      </c>
      <c r="D1299" s="3" t="s">
        <v>48</v>
      </c>
      <c r="E1299" s="3" t="s">
        <v>30</v>
      </c>
      <c r="F1299" s="3" t="s">
        <v>57</v>
      </c>
      <c r="G1299" s="3">
        <v>2016</v>
      </c>
      <c r="H1299" s="3" t="str">
        <f>CONCATENATE("64240808440")</f>
        <v>64240808440</v>
      </c>
      <c r="I1299" s="3" t="s">
        <v>25</v>
      </c>
      <c r="J1299" s="3" t="s">
        <v>26</v>
      </c>
      <c r="K1299" s="3" t="str">
        <f t="shared" si="43"/>
        <v/>
      </c>
      <c r="L1299" s="3" t="str">
        <f>CONCATENATE("11 11.2 4b")</f>
        <v>11 11.2 4b</v>
      </c>
      <c r="M1299" s="3" t="str">
        <f>CONCATENATE("BNDFNC56C50E256C")</f>
        <v>BNDFNC56C50E256C</v>
      </c>
      <c r="N1299" s="3" t="s">
        <v>1368</v>
      </c>
      <c r="O1299" s="3"/>
      <c r="P1299" s="4">
        <v>42783</v>
      </c>
      <c r="Q1299" s="3" t="s">
        <v>27</v>
      </c>
      <c r="R1299" s="3" t="s">
        <v>28</v>
      </c>
      <c r="S1299" s="3" t="s">
        <v>29</v>
      </c>
      <c r="T1299" s="5">
        <v>1920.81</v>
      </c>
      <c r="U1299" s="3">
        <v>828.25</v>
      </c>
      <c r="V1299" s="3">
        <v>764.87</v>
      </c>
      <c r="W1299" s="3">
        <v>327.69</v>
      </c>
    </row>
    <row r="1300" spans="1:23" ht="60.75">
      <c r="A1300" s="3" t="s">
        <v>23</v>
      </c>
      <c r="B1300" s="3" t="s">
        <v>24</v>
      </c>
      <c r="C1300" s="3" t="s">
        <v>35</v>
      </c>
      <c r="D1300" s="3" t="s">
        <v>43</v>
      </c>
      <c r="E1300" s="3" t="s">
        <v>32</v>
      </c>
      <c r="F1300" s="3" t="s">
        <v>78</v>
      </c>
      <c r="G1300" s="3">
        <v>2016</v>
      </c>
      <c r="H1300" s="3" t="str">
        <f>CONCATENATE("64240415915")</f>
        <v>64240415915</v>
      </c>
      <c r="I1300" s="3" t="s">
        <v>25</v>
      </c>
      <c r="J1300" s="3" t="s">
        <v>26</v>
      </c>
      <c r="K1300" s="3" t="str">
        <f t="shared" si="43"/>
        <v/>
      </c>
      <c r="L1300" s="3" t="str">
        <f>CONCATENATE("11 11.1 4b")</f>
        <v>11 11.1 4b</v>
      </c>
      <c r="M1300" s="3" t="str">
        <f>CONCATENATE("SPRPRI52A28L500Y")</f>
        <v>SPRPRI52A28L500Y</v>
      </c>
      <c r="N1300" s="3" t="s">
        <v>1369</v>
      </c>
      <c r="O1300" s="3"/>
      <c r="P1300" s="4">
        <v>42783</v>
      </c>
      <c r="Q1300" s="3" t="s">
        <v>27</v>
      </c>
      <c r="R1300" s="3" t="s">
        <v>28</v>
      </c>
      <c r="S1300" s="3" t="s">
        <v>29</v>
      </c>
      <c r="T1300" s="3">
        <v>994.84</v>
      </c>
      <c r="U1300" s="3">
        <v>428.98</v>
      </c>
      <c r="V1300" s="3">
        <v>396.15</v>
      </c>
      <c r="W1300" s="3">
        <v>169.71</v>
      </c>
    </row>
    <row r="1301" spans="1:23" ht="60.75">
      <c r="A1301" s="3" t="s">
        <v>23</v>
      </c>
      <c r="B1301" s="3" t="s">
        <v>24</v>
      </c>
      <c r="C1301" s="3" t="s">
        <v>35</v>
      </c>
      <c r="D1301" s="3" t="s">
        <v>43</v>
      </c>
      <c r="E1301" s="3" t="s">
        <v>30</v>
      </c>
      <c r="F1301" s="3" t="s">
        <v>131</v>
      </c>
      <c r="G1301" s="3">
        <v>2016</v>
      </c>
      <c r="H1301" s="3" t="str">
        <f>CONCATENATE("64240758553")</f>
        <v>64240758553</v>
      </c>
      <c r="I1301" s="3" t="s">
        <v>25</v>
      </c>
      <c r="J1301" s="3" t="s">
        <v>26</v>
      </c>
      <c r="K1301" s="3" t="str">
        <f t="shared" si="43"/>
        <v/>
      </c>
      <c r="L1301" s="3" t="str">
        <f>CONCATENATE("11 11.2 4b")</f>
        <v>11 11.2 4b</v>
      </c>
      <c r="M1301" s="3" t="str">
        <f>CONCATENATE("BRLGLN45M05I670Q")</f>
        <v>BRLGLN45M05I670Q</v>
      </c>
      <c r="N1301" s="3" t="s">
        <v>1370</v>
      </c>
      <c r="O1301" s="3"/>
      <c r="P1301" s="4">
        <v>42783</v>
      </c>
      <c r="Q1301" s="3" t="s">
        <v>27</v>
      </c>
      <c r="R1301" s="3" t="s">
        <v>28</v>
      </c>
      <c r="S1301" s="3" t="s">
        <v>29</v>
      </c>
      <c r="T1301" s="5">
        <v>3794.9</v>
      </c>
      <c r="U1301" s="5">
        <v>1636.36</v>
      </c>
      <c r="V1301" s="5">
        <v>1511.13</v>
      </c>
      <c r="W1301" s="3">
        <v>647.41</v>
      </c>
    </row>
    <row r="1302" spans="1:23" ht="72.75">
      <c r="A1302" s="3" t="s">
        <v>23</v>
      </c>
      <c r="B1302" s="3" t="s">
        <v>24</v>
      </c>
      <c r="C1302" s="3" t="s">
        <v>35</v>
      </c>
      <c r="D1302" s="3" t="s">
        <v>36</v>
      </c>
      <c r="E1302" s="3" t="s">
        <v>42</v>
      </c>
      <c r="F1302" s="3" t="s">
        <v>42</v>
      </c>
      <c r="G1302" s="3">
        <v>2016</v>
      </c>
      <c r="H1302" s="3" t="str">
        <f>CONCATENATE("64240227344")</f>
        <v>64240227344</v>
      </c>
      <c r="I1302" s="3" t="s">
        <v>25</v>
      </c>
      <c r="J1302" s="3" t="s">
        <v>26</v>
      </c>
      <c r="K1302" s="3" t="str">
        <f t="shared" si="43"/>
        <v/>
      </c>
      <c r="L1302" s="3" t="str">
        <f>CONCATENATE("11 11.2 4b")</f>
        <v>11 11.2 4b</v>
      </c>
      <c r="M1302" s="3" t="str">
        <f>CONCATENATE("CPNFNC51B04A462G")</f>
        <v>CPNFNC51B04A462G</v>
      </c>
      <c r="N1302" s="3" t="s">
        <v>1371</v>
      </c>
      <c r="O1302" s="3"/>
      <c r="P1302" s="4">
        <v>42783</v>
      </c>
      <c r="Q1302" s="3" t="s">
        <v>27</v>
      </c>
      <c r="R1302" s="3" t="s">
        <v>28</v>
      </c>
      <c r="S1302" s="3" t="s">
        <v>29</v>
      </c>
      <c r="T1302" s="5">
        <v>17739.77</v>
      </c>
      <c r="U1302" s="5">
        <v>7649.39</v>
      </c>
      <c r="V1302" s="5">
        <v>7063.98</v>
      </c>
      <c r="W1302" s="5">
        <v>3026.4</v>
      </c>
    </row>
    <row r="1303" spans="1:23" ht="60.75">
      <c r="A1303" s="3" t="s">
        <v>23</v>
      </c>
      <c r="B1303" s="3" t="s">
        <v>24</v>
      </c>
      <c r="C1303" s="3" t="s">
        <v>35</v>
      </c>
      <c r="D1303" s="3" t="s">
        <v>39</v>
      </c>
      <c r="E1303" s="3" t="s">
        <v>30</v>
      </c>
      <c r="F1303" s="3" t="s">
        <v>84</v>
      </c>
      <c r="G1303" s="3">
        <v>2016</v>
      </c>
      <c r="H1303" s="3" t="str">
        <f>CONCATENATE("64210963878")</f>
        <v>64210963878</v>
      </c>
      <c r="I1303" s="3" t="s">
        <v>25</v>
      </c>
      <c r="J1303" s="3" t="s">
        <v>26</v>
      </c>
      <c r="K1303" s="3" t="str">
        <f t="shared" si="43"/>
        <v/>
      </c>
      <c r="L1303" s="3" t="str">
        <f>CONCATENATE("13 13.1 4a")</f>
        <v>13 13.1 4a</v>
      </c>
      <c r="M1303" s="3" t="str">
        <f>CONCATENATE("PRSRLL52E41D451F")</f>
        <v>PRSRLL52E41D451F</v>
      </c>
      <c r="N1303" s="3" t="s">
        <v>1372</v>
      </c>
      <c r="O1303" s="3"/>
      <c r="P1303" s="4">
        <v>42783</v>
      </c>
      <c r="Q1303" s="3" t="s">
        <v>27</v>
      </c>
      <c r="R1303" s="3" t="s">
        <v>28</v>
      </c>
      <c r="S1303" s="3" t="s">
        <v>29</v>
      </c>
      <c r="T1303" s="5">
        <v>2464.6</v>
      </c>
      <c r="U1303" s="5">
        <v>1062.74</v>
      </c>
      <c r="V1303" s="3">
        <v>981.4</v>
      </c>
      <c r="W1303" s="3">
        <v>420.46</v>
      </c>
    </row>
    <row r="1304" spans="1:23" ht="60.75">
      <c r="A1304" s="3" t="s">
        <v>23</v>
      </c>
      <c r="B1304" s="3" t="s">
        <v>24</v>
      </c>
      <c r="C1304" s="3" t="s">
        <v>35</v>
      </c>
      <c r="D1304" s="3" t="s">
        <v>43</v>
      </c>
      <c r="E1304" s="3" t="s">
        <v>32</v>
      </c>
      <c r="F1304" s="3" t="s">
        <v>148</v>
      </c>
      <c r="G1304" s="3">
        <v>2016</v>
      </c>
      <c r="H1304" s="3" t="str">
        <f>CONCATENATE("64240566188")</f>
        <v>64240566188</v>
      </c>
      <c r="I1304" s="3" t="s">
        <v>25</v>
      </c>
      <c r="J1304" s="3" t="s">
        <v>26</v>
      </c>
      <c r="K1304" s="3" t="str">
        <f t="shared" si="43"/>
        <v/>
      </c>
      <c r="L1304" s="3" t="str">
        <f>CONCATENATE("11 11.2 4b")</f>
        <v>11 11.2 4b</v>
      </c>
      <c r="M1304" s="3" t="str">
        <f>CONCATENATE("PDNRRT69D17C830O")</f>
        <v>PDNRRT69D17C830O</v>
      </c>
      <c r="N1304" s="3" t="s">
        <v>1373</v>
      </c>
      <c r="O1304" s="3"/>
      <c r="P1304" s="4">
        <v>42783</v>
      </c>
      <c r="Q1304" s="3" t="s">
        <v>27</v>
      </c>
      <c r="R1304" s="3" t="s">
        <v>28</v>
      </c>
      <c r="S1304" s="3" t="s">
        <v>29</v>
      </c>
      <c r="T1304" s="5">
        <v>3537.32</v>
      </c>
      <c r="U1304" s="5">
        <v>1525.29</v>
      </c>
      <c r="V1304" s="5">
        <v>1408.56</v>
      </c>
      <c r="W1304" s="3">
        <v>603.47</v>
      </c>
    </row>
    <row r="1305" spans="1:23" ht="60.75">
      <c r="A1305" s="3" t="s">
        <v>23</v>
      </c>
      <c r="B1305" s="3" t="s">
        <v>24</v>
      </c>
      <c r="C1305" s="3" t="s">
        <v>35</v>
      </c>
      <c r="D1305" s="3" t="s">
        <v>36</v>
      </c>
      <c r="E1305" s="3" t="s">
        <v>32</v>
      </c>
      <c r="F1305" s="3" t="s">
        <v>179</v>
      </c>
      <c r="G1305" s="3">
        <v>2016</v>
      </c>
      <c r="H1305" s="3" t="str">
        <f>CONCATENATE("64240576641")</f>
        <v>64240576641</v>
      </c>
      <c r="I1305" s="3" t="s">
        <v>25</v>
      </c>
      <c r="J1305" s="3" t="s">
        <v>26</v>
      </c>
      <c r="K1305" s="3" t="str">
        <f t="shared" si="43"/>
        <v/>
      </c>
      <c r="L1305" s="3" t="str">
        <f>CONCATENATE("10 10.1 4b")</f>
        <v>10 10.1 4b</v>
      </c>
      <c r="M1305" s="3" t="str">
        <f>CONCATENATE("CRUMRZ74E14G516C")</f>
        <v>CRUMRZ74E14G516C</v>
      </c>
      <c r="N1305" s="3" t="s">
        <v>1374</v>
      </c>
      <c r="O1305" s="3"/>
      <c r="P1305" s="4">
        <v>42783</v>
      </c>
      <c r="Q1305" s="3" t="s">
        <v>27</v>
      </c>
      <c r="R1305" s="3" t="s">
        <v>28</v>
      </c>
      <c r="S1305" s="3" t="s">
        <v>29</v>
      </c>
      <c r="T1305" s="5">
        <v>3441.61</v>
      </c>
      <c r="U1305" s="5">
        <v>1484.02</v>
      </c>
      <c r="V1305" s="5">
        <v>1370.45</v>
      </c>
      <c r="W1305" s="3">
        <v>587.14</v>
      </c>
    </row>
    <row r="1306" spans="1:23" ht="60.75">
      <c r="A1306" s="3" t="s">
        <v>23</v>
      </c>
      <c r="B1306" s="3" t="s">
        <v>24</v>
      </c>
      <c r="C1306" s="3" t="s">
        <v>35</v>
      </c>
      <c r="D1306" s="3" t="s">
        <v>36</v>
      </c>
      <c r="E1306" s="3" t="s">
        <v>42</v>
      </c>
      <c r="F1306" s="3" t="s">
        <v>42</v>
      </c>
      <c r="G1306" s="3">
        <v>2016</v>
      </c>
      <c r="H1306" s="3" t="str">
        <f>CONCATENATE("64240399721")</f>
        <v>64240399721</v>
      </c>
      <c r="I1306" s="3" t="s">
        <v>25</v>
      </c>
      <c r="J1306" s="3" t="s">
        <v>26</v>
      </c>
      <c r="K1306" s="3" t="str">
        <f t="shared" si="43"/>
        <v/>
      </c>
      <c r="L1306" s="3" t="str">
        <f>CONCATENATE("11 11.2 4b")</f>
        <v>11 11.2 4b</v>
      </c>
      <c r="M1306" s="3" t="str">
        <f>CONCATENATE("GNNGNI49T54C935L")</f>
        <v>GNNGNI49T54C935L</v>
      </c>
      <c r="N1306" s="3" t="s">
        <v>1375</v>
      </c>
      <c r="O1306" s="3"/>
      <c r="P1306" s="4">
        <v>42783</v>
      </c>
      <c r="Q1306" s="3" t="s">
        <v>27</v>
      </c>
      <c r="R1306" s="3" t="s">
        <v>28</v>
      </c>
      <c r="S1306" s="3" t="s">
        <v>29</v>
      </c>
      <c r="T1306" s="5">
        <v>6171.35</v>
      </c>
      <c r="U1306" s="5">
        <v>2661.09</v>
      </c>
      <c r="V1306" s="5">
        <v>2457.4299999999998</v>
      </c>
      <c r="W1306" s="5">
        <v>1052.83</v>
      </c>
    </row>
    <row r="1307" spans="1:23" ht="60.75">
      <c r="A1307" s="3" t="s">
        <v>23</v>
      </c>
      <c r="B1307" s="3" t="s">
        <v>24</v>
      </c>
      <c r="C1307" s="3" t="s">
        <v>35</v>
      </c>
      <c r="D1307" s="3" t="s">
        <v>39</v>
      </c>
      <c r="E1307" s="3" t="s">
        <v>30</v>
      </c>
      <c r="F1307" s="3" t="s">
        <v>84</v>
      </c>
      <c r="G1307" s="3">
        <v>2016</v>
      </c>
      <c r="H1307" s="3" t="str">
        <f>CONCATENATE("64210955973")</f>
        <v>64210955973</v>
      </c>
      <c r="I1307" s="3" t="s">
        <v>25</v>
      </c>
      <c r="J1307" s="3" t="s">
        <v>26</v>
      </c>
      <c r="K1307" s="3" t="str">
        <f t="shared" si="43"/>
        <v/>
      </c>
      <c r="L1307" s="3" t="str">
        <f>CONCATENATE("13 13.1 4a")</f>
        <v>13 13.1 4a</v>
      </c>
      <c r="M1307" s="3" t="str">
        <f>CONCATENATE("RLNVRE55A18I653Q")</f>
        <v>RLNVRE55A18I653Q</v>
      </c>
      <c r="N1307" s="3" t="s">
        <v>1376</v>
      </c>
      <c r="O1307" s="3"/>
      <c r="P1307" s="4">
        <v>42783</v>
      </c>
      <c r="Q1307" s="3" t="s">
        <v>27</v>
      </c>
      <c r="R1307" s="3" t="s">
        <v>28</v>
      </c>
      <c r="S1307" s="3" t="s">
        <v>29</v>
      </c>
      <c r="T1307" s="3">
        <v>820.53</v>
      </c>
      <c r="U1307" s="3">
        <v>353.81</v>
      </c>
      <c r="V1307" s="3">
        <v>326.74</v>
      </c>
      <c r="W1307" s="3">
        <v>139.97999999999999</v>
      </c>
    </row>
    <row r="1308" spans="1:23" ht="60.75">
      <c r="A1308" s="3" t="s">
        <v>23</v>
      </c>
      <c r="B1308" s="3" t="s">
        <v>24</v>
      </c>
      <c r="C1308" s="3" t="s">
        <v>35</v>
      </c>
      <c r="D1308" s="3" t="s">
        <v>36</v>
      </c>
      <c r="E1308" s="3" t="s">
        <v>30</v>
      </c>
      <c r="F1308" s="3" t="s">
        <v>37</v>
      </c>
      <c r="G1308" s="3">
        <v>2016</v>
      </c>
      <c r="H1308" s="3" t="str">
        <f>CONCATENATE("64240273389")</f>
        <v>64240273389</v>
      </c>
      <c r="I1308" s="3" t="s">
        <v>25</v>
      </c>
      <c r="J1308" s="3" t="s">
        <v>26</v>
      </c>
      <c r="K1308" s="3" t="str">
        <f t="shared" si="43"/>
        <v/>
      </c>
      <c r="L1308" s="3" t="str">
        <f>CONCATENATE("11 11.2 4b")</f>
        <v>11 11.2 4b</v>
      </c>
      <c r="M1308" s="3" t="str">
        <f>CONCATENATE("GHMMRL68S49Z129X")</f>
        <v>GHMMRL68S49Z129X</v>
      </c>
      <c r="N1308" s="3" t="s">
        <v>731</v>
      </c>
      <c r="O1308" s="3"/>
      <c r="P1308" s="4">
        <v>42783</v>
      </c>
      <c r="Q1308" s="3" t="s">
        <v>27</v>
      </c>
      <c r="R1308" s="3" t="s">
        <v>28</v>
      </c>
      <c r="S1308" s="3" t="s">
        <v>29</v>
      </c>
      <c r="T1308" s="5">
        <v>1706.18</v>
      </c>
      <c r="U1308" s="3">
        <v>735.7</v>
      </c>
      <c r="V1308" s="3">
        <v>679.4</v>
      </c>
      <c r="W1308" s="3">
        <v>291.08</v>
      </c>
    </row>
    <row r="1309" spans="1:23" ht="60.75">
      <c r="A1309" s="3" t="s">
        <v>23</v>
      </c>
      <c r="B1309" s="3" t="s">
        <v>24</v>
      </c>
      <c r="C1309" s="3" t="s">
        <v>35</v>
      </c>
      <c r="D1309" s="3" t="s">
        <v>39</v>
      </c>
      <c r="E1309" s="3" t="s">
        <v>30</v>
      </c>
      <c r="F1309" s="3" t="s">
        <v>97</v>
      </c>
      <c r="G1309" s="3">
        <v>2016</v>
      </c>
      <c r="H1309" s="3" t="str">
        <f>CONCATENATE("64240365706")</f>
        <v>64240365706</v>
      </c>
      <c r="I1309" s="3" t="s">
        <v>31</v>
      </c>
      <c r="J1309" s="3" t="s">
        <v>26</v>
      </c>
      <c r="K1309" s="3" t="str">
        <f t="shared" si="43"/>
        <v/>
      </c>
      <c r="L1309" s="3" t="str">
        <f>CONCATENATE("11 11.2 4b")</f>
        <v>11 11.2 4b</v>
      </c>
      <c r="M1309" s="3" t="str">
        <f>CONCATENATE("VGNRRT70C57A271G")</f>
        <v>VGNRRT70C57A271G</v>
      </c>
      <c r="N1309" s="3" t="s">
        <v>1377</v>
      </c>
      <c r="O1309" s="3"/>
      <c r="P1309" s="4">
        <v>42783</v>
      </c>
      <c r="Q1309" s="3" t="s">
        <v>27</v>
      </c>
      <c r="R1309" s="3" t="s">
        <v>28</v>
      </c>
      <c r="S1309" s="3" t="s">
        <v>29</v>
      </c>
      <c r="T1309" s="5">
        <v>2918.97</v>
      </c>
      <c r="U1309" s="5">
        <v>1258.6600000000001</v>
      </c>
      <c r="V1309" s="5">
        <v>1162.33</v>
      </c>
      <c r="W1309" s="3">
        <v>497.98</v>
      </c>
    </row>
    <row r="1310" spans="1:23" ht="36.75">
      <c r="A1310" s="3" t="s">
        <v>23</v>
      </c>
      <c r="B1310" s="3" t="s">
        <v>24</v>
      </c>
      <c r="C1310" s="3" t="s">
        <v>35</v>
      </c>
      <c r="D1310" s="3" t="s">
        <v>48</v>
      </c>
      <c r="E1310" s="3" t="s">
        <v>30</v>
      </c>
      <c r="F1310" s="3" t="s">
        <v>157</v>
      </c>
      <c r="G1310" s="3">
        <v>2016</v>
      </c>
      <c r="H1310" s="3" t="str">
        <f>CONCATENATE("64240655254")</f>
        <v>64240655254</v>
      </c>
      <c r="I1310" s="3" t="s">
        <v>25</v>
      </c>
      <c r="J1310" s="3" t="s">
        <v>26</v>
      </c>
      <c r="K1310" s="3" t="str">
        <f t="shared" si="43"/>
        <v/>
      </c>
      <c r="L1310" s="3" t="str">
        <f>CONCATENATE("11 11.1 4b")</f>
        <v>11 11.1 4b</v>
      </c>
      <c r="M1310" s="3" t="str">
        <f>CONCATENATE("01914550437")</f>
        <v>01914550437</v>
      </c>
      <c r="N1310" s="3" t="s">
        <v>1140</v>
      </c>
      <c r="O1310" s="3"/>
      <c r="P1310" s="4">
        <v>42783</v>
      </c>
      <c r="Q1310" s="3" t="s">
        <v>27</v>
      </c>
      <c r="R1310" s="3" t="s">
        <v>28</v>
      </c>
      <c r="S1310" s="3" t="s">
        <v>29</v>
      </c>
      <c r="T1310" s="5">
        <v>16388.87</v>
      </c>
      <c r="U1310" s="5">
        <v>7066.88</v>
      </c>
      <c r="V1310" s="5">
        <v>6526.05</v>
      </c>
      <c r="W1310" s="5">
        <v>2795.94</v>
      </c>
    </row>
    <row r="1311" spans="1:23" ht="60.75">
      <c r="A1311" s="3" t="s">
        <v>23</v>
      </c>
      <c r="B1311" s="3" t="s">
        <v>24</v>
      </c>
      <c r="C1311" s="3" t="s">
        <v>35</v>
      </c>
      <c r="D1311" s="3" t="s">
        <v>48</v>
      </c>
      <c r="E1311" s="3" t="s">
        <v>30</v>
      </c>
      <c r="F1311" s="3" t="s">
        <v>91</v>
      </c>
      <c r="G1311" s="3">
        <v>2016</v>
      </c>
      <c r="H1311" s="3" t="str">
        <f>CONCATENATE("64210596454")</f>
        <v>64210596454</v>
      </c>
      <c r="I1311" s="3" t="s">
        <v>25</v>
      </c>
      <c r="J1311" s="3" t="s">
        <v>26</v>
      </c>
      <c r="K1311" s="3" t="str">
        <f t="shared" si="43"/>
        <v/>
      </c>
      <c r="L1311" s="3" t="str">
        <f>CONCATENATE("13 13.1 4a")</f>
        <v>13 13.1 4a</v>
      </c>
      <c r="M1311" s="3" t="str">
        <f>CONCATENATE("TRMSRA54H14B474P")</f>
        <v>TRMSRA54H14B474P</v>
      </c>
      <c r="N1311" s="3" t="s">
        <v>1378</v>
      </c>
      <c r="O1311" s="3"/>
      <c r="P1311" s="4">
        <v>42783</v>
      </c>
      <c r="Q1311" s="3" t="s">
        <v>27</v>
      </c>
      <c r="R1311" s="3" t="s">
        <v>28</v>
      </c>
      <c r="S1311" s="3" t="s">
        <v>29</v>
      </c>
      <c r="T1311" s="5">
        <v>5400</v>
      </c>
      <c r="U1311" s="5">
        <v>2328.48</v>
      </c>
      <c r="V1311" s="5">
        <v>2150.2800000000002</v>
      </c>
      <c r="W1311" s="3">
        <v>921.24</v>
      </c>
    </row>
    <row r="1312" spans="1:23" ht="60.75">
      <c r="A1312" s="3" t="s">
        <v>23</v>
      </c>
      <c r="B1312" s="3" t="s">
        <v>24</v>
      </c>
      <c r="C1312" s="3" t="s">
        <v>35</v>
      </c>
      <c r="D1312" s="3" t="s">
        <v>43</v>
      </c>
      <c r="E1312" s="3" t="s">
        <v>32</v>
      </c>
      <c r="F1312" s="3" t="s">
        <v>119</v>
      </c>
      <c r="G1312" s="3">
        <v>2016</v>
      </c>
      <c r="H1312" s="3" t="str">
        <f>CONCATENATE("64210281289")</f>
        <v>64210281289</v>
      </c>
      <c r="I1312" s="3" t="s">
        <v>25</v>
      </c>
      <c r="J1312" s="3" t="s">
        <v>26</v>
      </c>
      <c r="K1312" s="3" t="str">
        <f t="shared" si="43"/>
        <v/>
      </c>
      <c r="L1312" s="3" t="str">
        <f>CONCATENATE("13 13.1 4a")</f>
        <v>13 13.1 4a</v>
      </c>
      <c r="M1312" s="3" t="str">
        <f>CONCATENATE("PRLLRT63R14A327U")</f>
        <v>PRLLRT63R14A327U</v>
      </c>
      <c r="N1312" s="3" t="s">
        <v>1379</v>
      </c>
      <c r="O1312" s="3"/>
      <c r="P1312" s="4">
        <v>42783</v>
      </c>
      <c r="Q1312" s="3" t="s">
        <v>27</v>
      </c>
      <c r="R1312" s="3" t="s">
        <v>28</v>
      </c>
      <c r="S1312" s="3" t="s">
        <v>29</v>
      </c>
      <c r="T1312" s="5">
        <v>2153.66</v>
      </c>
      <c r="U1312" s="3">
        <v>928.66</v>
      </c>
      <c r="V1312" s="3">
        <v>857.59</v>
      </c>
      <c r="W1312" s="3">
        <v>367.41</v>
      </c>
    </row>
    <row r="1313" spans="1:23" ht="36.75">
      <c r="A1313" s="3" t="s">
        <v>23</v>
      </c>
      <c r="B1313" s="3" t="s">
        <v>24</v>
      </c>
      <c r="C1313" s="3" t="s">
        <v>35</v>
      </c>
      <c r="D1313" s="3" t="s">
        <v>43</v>
      </c>
      <c r="E1313" s="3" t="s">
        <v>30</v>
      </c>
      <c r="F1313" s="3" t="s">
        <v>124</v>
      </c>
      <c r="G1313" s="3">
        <v>2016</v>
      </c>
      <c r="H1313" s="3" t="str">
        <f>CONCATENATE("64210544405")</f>
        <v>64210544405</v>
      </c>
      <c r="I1313" s="3" t="s">
        <v>31</v>
      </c>
      <c r="J1313" s="3" t="s">
        <v>26</v>
      </c>
      <c r="K1313" s="3" t="str">
        <f t="shared" si="43"/>
        <v/>
      </c>
      <c r="L1313" s="3" t="str">
        <f>CONCATENATE("13 13.1 4a")</f>
        <v>13 13.1 4a</v>
      </c>
      <c r="M1313" s="3" t="str">
        <f>CONCATENATE("01180010413")</f>
        <v>01180010413</v>
      </c>
      <c r="N1313" s="3" t="s">
        <v>771</v>
      </c>
      <c r="O1313" s="3"/>
      <c r="P1313" s="4">
        <v>42783</v>
      </c>
      <c r="Q1313" s="3" t="s">
        <v>27</v>
      </c>
      <c r="R1313" s="3" t="s">
        <v>28</v>
      </c>
      <c r="S1313" s="3" t="s">
        <v>29</v>
      </c>
      <c r="T1313" s="5">
        <v>5400</v>
      </c>
      <c r="U1313" s="5">
        <v>2328.48</v>
      </c>
      <c r="V1313" s="5">
        <v>2150.2800000000002</v>
      </c>
      <c r="W1313" s="3">
        <v>921.24</v>
      </c>
    </row>
    <row r="1314" spans="1:23" ht="60.75">
      <c r="A1314" s="3" t="s">
        <v>23</v>
      </c>
      <c r="B1314" s="3" t="s">
        <v>24</v>
      </c>
      <c r="C1314" s="3" t="s">
        <v>35</v>
      </c>
      <c r="D1314" s="3" t="s">
        <v>39</v>
      </c>
      <c r="E1314" s="3" t="s">
        <v>34</v>
      </c>
      <c r="F1314" s="3" t="s">
        <v>170</v>
      </c>
      <c r="G1314" s="3">
        <v>2016</v>
      </c>
      <c r="H1314" s="3" t="str">
        <f>CONCATENATE("64240695292")</f>
        <v>64240695292</v>
      </c>
      <c r="I1314" s="3" t="s">
        <v>31</v>
      </c>
      <c r="J1314" s="3" t="s">
        <v>26</v>
      </c>
      <c r="K1314" s="3" t="str">
        <f t="shared" si="43"/>
        <v/>
      </c>
      <c r="L1314" s="3" t="str">
        <f>CONCATENATE("11 11.2 4b")</f>
        <v>11 11.2 4b</v>
      </c>
      <c r="M1314" s="3" t="str">
        <f>CONCATENATE("GRNSNL59D69A542X")</f>
        <v>GRNSNL59D69A542X</v>
      </c>
      <c r="N1314" s="3" t="s">
        <v>1380</v>
      </c>
      <c r="O1314" s="3"/>
      <c r="P1314" s="4">
        <v>42783</v>
      </c>
      <c r="Q1314" s="3" t="s">
        <v>27</v>
      </c>
      <c r="R1314" s="3" t="s">
        <v>28</v>
      </c>
      <c r="S1314" s="3" t="s">
        <v>29</v>
      </c>
      <c r="T1314" s="3">
        <v>729.43</v>
      </c>
      <c r="U1314" s="3">
        <v>314.52999999999997</v>
      </c>
      <c r="V1314" s="3">
        <v>290.45999999999998</v>
      </c>
      <c r="W1314" s="3">
        <v>124.44</v>
      </c>
    </row>
    <row r="1315" spans="1:23" ht="72.75">
      <c r="A1315" s="3" t="s">
        <v>23</v>
      </c>
      <c r="B1315" s="3" t="s">
        <v>24</v>
      </c>
      <c r="C1315" s="3" t="s">
        <v>35</v>
      </c>
      <c r="D1315" s="3" t="s">
        <v>48</v>
      </c>
      <c r="E1315" s="3" t="s">
        <v>34</v>
      </c>
      <c r="F1315" s="3" t="s">
        <v>141</v>
      </c>
      <c r="G1315" s="3">
        <v>2016</v>
      </c>
      <c r="H1315" s="3" t="str">
        <f>CONCATENATE("64240563128")</f>
        <v>64240563128</v>
      </c>
      <c r="I1315" s="3" t="s">
        <v>25</v>
      </c>
      <c r="J1315" s="3" t="s">
        <v>26</v>
      </c>
      <c r="K1315" s="3" t="str">
        <f t="shared" si="43"/>
        <v/>
      </c>
      <c r="L1315" s="3" t="str">
        <f>CONCATENATE("11 11.2 4b")</f>
        <v>11 11.2 4b</v>
      </c>
      <c r="M1315" s="3" t="str">
        <f>CONCATENATE("MGGLGU63P30B474G")</f>
        <v>MGGLGU63P30B474G</v>
      </c>
      <c r="N1315" s="3" t="s">
        <v>1381</v>
      </c>
      <c r="O1315" s="3"/>
      <c r="P1315" s="4">
        <v>42783</v>
      </c>
      <c r="Q1315" s="3" t="s">
        <v>27</v>
      </c>
      <c r="R1315" s="3" t="s">
        <v>28</v>
      </c>
      <c r="S1315" s="3" t="s">
        <v>29</v>
      </c>
      <c r="T1315" s="5">
        <v>2908.48</v>
      </c>
      <c r="U1315" s="5">
        <v>1254.1400000000001</v>
      </c>
      <c r="V1315" s="5">
        <v>1158.1600000000001</v>
      </c>
      <c r="W1315" s="3">
        <v>496.18</v>
      </c>
    </row>
    <row r="1316" spans="1:23" ht="72.75">
      <c r="A1316" s="3" t="s">
        <v>23</v>
      </c>
      <c r="B1316" s="3" t="s">
        <v>24</v>
      </c>
      <c r="C1316" s="3" t="s">
        <v>35</v>
      </c>
      <c r="D1316" s="3" t="s">
        <v>48</v>
      </c>
      <c r="E1316" s="3" t="s">
        <v>30</v>
      </c>
      <c r="F1316" s="3" t="s">
        <v>91</v>
      </c>
      <c r="G1316" s="3">
        <v>2016</v>
      </c>
      <c r="H1316" s="3" t="str">
        <f>CONCATENATE("64210519944")</f>
        <v>64210519944</v>
      </c>
      <c r="I1316" s="3" t="s">
        <v>25</v>
      </c>
      <c r="J1316" s="3" t="s">
        <v>26</v>
      </c>
      <c r="K1316" s="3" t="str">
        <f t="shared" si="43"/>
        <v/>
      </c>
      <c r="L1316" s="3" t="str">
        <f>CONCATENATE("13 13.1 4a")</f>
        <v>13 13.1 4a</v>
      </c>
      <c r="M1316" s="3" t="str">
        <f>CONCATENATE("FRTSFN61H28H501G")</f>
        <v>FRTSFN61H28H501G</v>
      </c>
      <c r="N1316" s="3" t="s">
        <v>1382</v>
      </c>
      <c r="O1316" s="3"/>
      <c r="P1316" s="4">
        <v>42783</v>
      </c>
      <c r="Q1316" s="3" t="s">
        <v>27</v>
      </c>
      <c r="R1316" s="3" t="s">
        <v>28</v>
      </c>
      <c r="S1316" s="3" t="s">
        <v>29</v>
      </c>
      <c r="T1316" s="3">
        <v>630.30999999999995</v>
      </c>
      <c r="U1316" s="3">
        <v>271.79000000000002</v>
      </c>
      <c r="V1316" s="3">
        <v>250.99</v>
      </c>
      <c r="W1316" s="3">
        <v>107.53</v>
      </c>
    </row>
    <row r="1317" spans="1:23" ht="60.75">
      <c r="A1317" s="3" t="s">
        <v>23</v>
      </c>
      <c r="B1317" s="3" t="s">
        <v>24</v>
      </c>
      <c r="C1317" s="3" t="s">
        <v>35</v>
      </c>
      <c r="D1317" s="3" t="s">
        <v>48</v>
      </c>
      <c r="E1317" s="3" t="s">
        <v>30</v>
      </c>
      <c r="F1317" s="3" t="s">
        <v>157</v>
      </c>
      <c r="G1317" s="3">
        <v>2016</v>
      </c>
      <c r="H1317" s="3" t="str">
        <f>CONCATENATE("64240436754")</f>
        <v>64240436754</v>
      </c>
      <c r="I1317" s="3" t="s">
        <v>25</v>
      </c>
      <c r="J1317" s="3" t="s">
        <v>26</v>
      </c>
      <c r="K1317" s="3" t="str">
        <f t="shared" si="43"/>
        <v/>
      </c>
      <c r="L1317" s="3" t="str">
        <f>CONCATENATE("11 11.2 4b")</f>
        <v>11 11.2 4b</v>
      </c>
      <c r="M1317" s="3" t="str">
        <f>CONCATENATE("TRDREU58D02C770O")</f>
        <v>TRDREU58D02C770O</v>
      </c>
      <c r="N1317" s="3" t="s">
        <v>1383</v>
      </c>
      <c r="O1317" s="3"/>
      <c r="P1317" s="4">
        <v>42783</v>
      </c>
      <c r="Q1317" s="3" t="s">
        <v>27</v>
      </c>
      <c r="R1317" s="3" t="s">
        <v>28</v>
      </c>
      <c r="S1317" s="3" t="s">
        <v>29</v>
      </c>
      <c r="T1317" s="3">
        <v>996.79</v>
      </c>
      <c r="U1317" s="3">
        <v>429.82</v>
      </c>
      <c r="V1317" s="3">
        <v>396.92</v>
      </c>
      <c r="W1317" s="3">
        <v>170.05</v>
      </c>
    </row>
    <row r="1318" spans="1:23" ht="60.75">
      <c r="A1318" s="3" t="s">
        <v>23</v>
      </c>
      <c r="B1318" s="3" t="s">
        <v>24</v>
      </c>
      <c r="C1318" s="3" t="s">
        <v>35</v>
      </c>
      <c r="D1318" s="3" t="s">
        <v>43</v>
      </c>
      <c r="E1318" s="3" t="s">
        <v>30</v>
      </c>
      <c r="F1318" s="3" t="s">
        <v>76</v>
      </c>
      <c r="G1318" s="3">
        <v>2016</v>
      </c>
      <c r="H1318" s="3" t="str">
        <f>CONCATENATE("64210141491")</f>
        <v>64210141491</v>
      </c>
      <c r="I1318" s="3" t="s">
        <v>31</v>
      </c>
      <c r="J1318" s="3" t="s">
        <v>26</v>
      </c>
      <c r="K1318" s="3" t="str">
        <f t="shared" si="43"/>
        <v/>
      </c>
      <c r="L1318" s="3" t="str">
        <f>CONCATENATE("13 13.1 4a")</f>
        <v>13 13.1 4a</v>
      </c>
      <c r="M1318" s="3" t="str">
        <f>CONCATENATE("RNZFNC51E01F136N")</f>
        <v>RNZFNC51E01F136N</v>
      </c>
      <c r="N1318" s="3" t="s">
        <v>1384</v>
      </c>
      <c r="O1318" s="3"/>
      <c r="P1318" s="4">
        <v>42783</v>
      </c>
      <c r="Q1318" s="3" t="s">
        <v>27</v>
      </c>
      <c r="R1318" s="3" t="s">
        <v>28</v>
      </c>
      <c r="S1318" s="3" t="s">
        <v>29</v>
      </c>
      <c r="T1318" s="5">
        <v>2284.75</v>
      </c>
      <c r="U1318" s="3">
        <v>985.18</v>
      </c>
      <c r="V1318" s="3">
        <v>909.79</v>
      </c>
      <c r="W1318" s="3">
        <v>389.78</v>
      </c>
    </row>
    <row r="1319" spans="1:23" ht="60.75">
      <c r="A1319" s="3" t="s">
        <v>23</v>
      </c>
      <c r="B1319" s="3" t="s">
        <v>24</v>
      </c>
      <c r="C1319" s="3" t="s">
        <v>35</v>
      </c>
      <c r="D1319" s="3" t="s">
        <v>36</v>
      </c>
      <c r="E1319" s="3" t="s">
        <v>32</v>
      </c>
      <c r="F1319" s="3" t="s">
        <v>208</v>
      </c>
      <c r="G1319" s="3">
        <v>2016</v>
      </c>
      <c r="H1319" s="3" t="str">
        <f>CONCATENATE("64240335998")</f>
        <v>64240335998</v>
      </c>
      <c r="I1319" s="3" t="s">
        <v>25</v>
      </c>
      <c r="J1319" s="3" t="s">
        <v>26</v>
      </c>
      <c r="K1319" s="3" t="str">
        <f t="shared" si="43"/>
        <v/>
      </c>
      <c r="L1319" s="3" t="str">
        <f>CONCATENATE("11 11.2 4b")</f>
        <v>11 11.2 4b</v>
      </c>
      <c r="M1319" s="3" t="str">
        <f>CONCATENATE("MRCCLR53A62C331Z")</f>
        <v>MRCCLR53A62C331Z</v>
      </c>
      <c r="N1319" s="3" t="s">
        <v>1385</v>
      </c>
      <c r="O1319" s="3"/>
      <c r="P1319" s="4">
        <v>42783</v>
      </c>
      <c r="Q1319" s="3" t="s">
        <v>27</v>
      </c>
      <c r="R1319" s="3" t="s">
        <v>28</v>
      </c>
      <c r="S1319" s="3" t="s">
        <v>29</v>
      </c>
      <c r="T1319" s="5">
        <v>7177.79</v>
      </c>
      <c r="U1319" s="5">
        <v>3095.06</v>
      </c>
      <c r="V1319" s="5">
        <v>2858.2</v>
      </c>
      <c r="W1319" s="5">
        <v>1224.53</v>
      </c>
    </row>
    <row r="1320" spans="1:23" ht="60.75">
      <c r="A1320" s="3" t="s">
        <v>23</v>
      </c>
      <c r="B1320" s="3" t="s">
        <v>24</v>
      </c>
      <c r="C1320" s="3" t="s">
        <v>35</v>
      </c>
      <c r="D1320" s="3" t="s">
        <v>39</v>
      </c>
      <c r="E1320" s="3" t="s">
        <v>32</v>
      </c>
      <c r="F1320" s="3" t="s">
        <v>215</v>
      </c>
      <c r="G1320" s="3">
        <v>2016</v>
      </c>
      <c r="H1320" s="3" t="str">
        <f>CONCATENATE("64240344719")</f>
        <v>64240344719</v>
      </c>
      <c r="I1320" s="3" t="s">
        <v>25</v>
      </c>
      <c r="J1320" s="3" t="s">
        <v>26</v>
      </c>
      <c r="K1320" s="3" t="str">
        <f t="shared" si="43"/>
        <v/>
      </c>
      <c r="L1320" s="3" t="str">
        <f>CONCATENATE("11 11.2 4b")</f>
        <v>11 11.2 4b</v>
      </c>
      <c r="M1320" s="3" t="str">
        <f>CONCATENATE("SLTRRT58B19Z120W")</f>
        <v>SLTRRT58B19Z120W</v>
      </c>
      <c r="N1320" s="3" t="s">
        <v>1386</v>
      </c>
      <c r="O1320" s="3"/>
      <c r="P1320" s="4">
        <v>42783</v>
      </c>
      <c r="Q1320" s="3" t="s">
        <v>27</v>
      </c>
      <c r="R1320" s="3" t="s">
        <v>28</v>
      </c>
      <c r="S1320" s="3" t="s">
        <v>29</v>
      </c>
      <c r="T1320" s="5">
        <v>1218.96</v>
      </c>
      <c r="U1320" s="3">
        <v>525.62</v>
      </c>
      <c r="V1320" s="3">
        <v>485.39</v>
      </c>
      <c r="W1320" s="3">
        <v>207.95</v>
      </c>
    </row>
    <row r="1321" spans="1:23" ht="72.75">
      <c r="A1321" s="3" t="s">
        <v>23</v>
      </c>
      <c r="B1321" s="3" t="s">
        <v>24</v>
      </c>
      <c r="C1321" s="3" t="s">
        <v>35</v>
      </c>
      <c r="D1321" s="3" t="s">
        <v>48</v>
      </c>
      <c r="E1321" s="3" t="s">
        <v>30</v>
      </c>
      <c r="F1321" s="3" t="s">
        <v>57</v>
      </c>
      <c r="G1321" s="3">
        <v>2016</v>
      </c>
      <c r="H1321" s="3" t="str">
        <f>CONCATENATE("64240599668")</f>
        <v>64240599668</v>
      </c>
      <c r="I1321" s="3" t="s">
        <v>25</v>
      </c>
      <c r="J1321" s="3" t="s">
        <v>26</v>
      </c>
      <c r="K1321" s="3" t="str">
        <f t="shared" si="43"/>
        <v/>
      </c>
      <c r="L1321" s="3" t="str">
        <f>CONCATENATE("11 11.2 4b")</f>
        <v>11 11.2 4b</v>
      </c>
      <c r="M1321" s="3" t="str">
        <f>CONCATENATE("BRBLSN33D44A739U")</f>
        <v>BRBLSN33D44A739U</v>
      </c>
      <c r="N1321" s="3" t="s">
        <v>1387</v>
      </c>
      <c r="O1321" s="3"/>
      <c r="P1321" s="4">
        <v>42783</v>
      </c>
      <c r="Q1321" s="3" t="s">
        <v>27</v>
      </c>
      <c r="R1321" s="3" t="s">
        <v>28</v>
      </c>
      <c r="S1321" s="3" t="s">
        <v>29</v>
      </c>
      <c r="T1321" s="5">
        <v>1120.8800000000001</v>
      </c>
      <c r="U1321" s="3">
        <v>483.32</v>
      </c>
      <c r="V1321" s="3">
        <v>446.33</v>
      </c>
      <c r="W1321" s="3">
        <v>191.23</v>
      </c>
    </row>
    <row r="1322" spans="1:23" ht="60.75">
      <c r="A1322" s="3" t="s">
        <v>23</v>
      </c>
      <c r="B1322" s="3" t="s">
        <v>24</v>
      </c>
      <c r="C1322" s="3" t="s">
        <v>35</v>
      </c>
      <c r="D1322" s="3" t="s">
        <v>36</v>
      </c>
      <c r="E1322" s="3" t="s">
        <v>30</v>
      </c>
      <c r="F1322" s="3" t="s">
        <v>67</v>
      </c>
      <c r="G1322" s="3">
        <v>2016</v>
      </c>
      <c r="H1322" s="3" t="str">
        <f>CONCATENATE("64240353207")</f>
        <v>64240353207</v>
      </c>
      <c r="I1322" s="3" t="s">
        <v>25</v>
      </c>
      <c r="J1322" s="3" t="s">
        <v>26</v>
      </c>
      <c r="K1322" s="3" t="str">
        <f t="shared" si="43"/>
        <v/>
      </c>
      <c r="L1322" s="3" t="str">
        <f>CONCATENATE("11 11.1 4b")</f>
        <v>11 11.1 4b</v>
      </c>
      <c r="M1322" s="3" t="str">
        <f>CONCATENATE("DLTRRT76D19I324Y")</f>
        <v>DLTRRT76D19I324Y</v>
      </c>
      <c r="N1322" s="3" t="s">
        <v>1388</v>
      </c>
      <c r="O1322" s="3"/>
      <c r="P1322" s="4">
        <v>42783</v>
      </c>
      <c r="Q1322" s="3" t="s">
        <v>27</v>
      </c>
      <c r="R1322" s="3" t="s">
        <v>28</v>
      </c>
      <c r="S1322" s="3" t="s">
        <v>29</v>
      </c>
      <c r="T1322" s="5">
        <v>1768.8</v>
      </c>
      <c r="U1322" s="3">
        <v>762.71</v>
      </c>
      <c r="V1322" s="3">
        <v>704.34</v>
      </c>
      <c r="W1322" s="3">
        <v>301.75</v>
      </c>
    </row>
    <row r="1323" spans="1:23" ht="60.75">
      <c r="A1323" s="3" t="s">
        <v>23</v>
      </c>
      <c r="B1323" s="3" t="s">
        <v>24</v>
      </c>
      <c r="C1323" s="3" t="s">
        <v>35</v>
      </c>
      <c r="D1323" s="3" t="s">
        <v>36</v>
      </c>
      <c r="E1323" s="3" t="s">
        <v>59</v>
      </c>
      <c r="F1323" s="3" t="s">
        <v>62</v>
      </c>
      <c r="G1323" s="3">
        <v>2016</v>
      </c>
      <c r="H1323" s="3" t="str">
        <f>CONCATENATE("64240384939")</f>
        <v>64240384939</v>
      </c>
      <c r="I1323" s="3" t="s">
        <v>25</v>
      </c>
      <c r="J1323" s="3" t="s">
        <v>26</v>
      </c>
      <c r="K1323" s="3" t="str">
        <f t="shared" si="43"/>
        <v/>
      </c>
      <c r="L1323" s="3" t="str">
        <f>CONCATENATE("11 11.2 4b")</f>
        <v>11 11.2 4b</v>
      </c>
      <c r="M1323" s="3" t="str">
        <f>CONCATENATE("MLRMRA51E43F415P")</f>
        <v>MLRMRA51E43F415P</v>
      </c>
      <c r="N1323" s="3" t="s">
        <v>1389</v>
      </c>
      <c r="O1323" s="3"/>
      <c r="P1323" s="4">
        <v>42783</v>
      </c>
      <c r="Q1323" s="3" t="s">
        <v>27</v>
      </c>
      <c r="R1323" s="3" t="s">
        <v>28</v>
      </c>
      <c r="S1323" s="3" t="s">
        <v>29</v>
      </c>
      <c r="T1323" s="5">
        <v>1119.53</v>
      </c>
      <c r="U1323" s="3">
        <v>482.74</v>
      </c>
      <c r="V1323" s="3">
        <v>445.8</v>
      </c>
      <c r="W1323" s="3">
        <v>190.99</v>
      </c>
    </row>
    <row r="1324" spans="1:23" ht="60.75">
      <c r="A1324" s="3" t="s">
        <v>23</v>
      </c>
      <c r="B1324" s="3" t="s">
        <v>24</v>
      </c>
      <c r="C1324" s="3" t="s">
        <v>35</v>
      </c>
      <c r="D1324" s="3" t="s">
        <v>48</v>
      </c>
      <c r="E1324" s="3" t="s">
        <v>30</v>
      </c>
      <c r="F1324" s="3" t="s">
        <v>157</v>
      </c>
      <c r="G1324" s="3">
        <v>2016</v>
      </c>
      <c r="H1324" s="3" t="str">
        <f>CONCATENATE("64240423711")</f>
        <v>64240423711</v>
      </c>
      <c r="I1324" s="3" t="s">
        <v>25</v>
      </c>
      <c r="J1324" s="3" t="s">
        <v>26</v>
      </c>
      <c r="K1324" s="3" t="str">
        <f t="shared" si="43"/>
        <v/>
      </c>
      <c r="L1324" s="3" t="str">
        <f>CONCATENATE("11 11.2 4b")</f>
        <v>11 11.2 4b</v>
      </c>
      <c r="M1324" s="3" t="str">
        <f>CONCATENATE("NSVLCU73D11B474I")</f>
        <v>NSVLCU73D11B474I</v>
      </c>
      <c r="N1324" s="3" t="s">
        <v>1390</v>
      </c>
      <c r="O1324" s="3"/>
      <c r="P1324" s="4">
        <v>42783</v>
      </c>
      <c r="Q1324" s="3" t="s">
        <v>27</v>
      </c>
      <c r="R1324" s="3" t="s">
        <v>28</v>
      </c>
      <c r="S1324" s="3" t="s">
        <v>29</v>
      </c>
      <c r="T1324" s="5">
        <v>6229.46</v>
      </c>
      <c r="U1324" s="5">
        <v>2686.14</v>
      </c>
      <c r="V1324" s="5">
        <v>2480.5700000000002</v>
      </c>
      <c r="W1324" s="5">
        <v>1062.75</v>
      </c>
    </row>
    <row r="1325" spans="1:23" ht="60.75">
      <c r="A1325" s="3" t="s">
        <v>23</v>
      </c>
      <c r="B1325" s="3" t="s">
        <v>24</v>
      </c>
      <c r="C1325" s="3" t="s">
        <v>35</v>
      </c>
      <c r="D1325" s="3" t="s">
        <v>39</v>
      </c>
      <c r="E1325" s="3" t="s">
        <v>30</v>
      </c>
      <c r="F1325" s="3" t="s">
        <v>40</v>
      </c>
      <c r="G1325" s="3">
        <v>2016</v>
      </c>
      <c r="H1325" s="3" t="str">
        <f>CONCATENATE("64240530838")</f>
        <v>64240530838</v>
      </c>
      <c r="I1325" s="3" t="s">
        <v>25</v>
      </c>
      <c r="J1325" s="3" t="s">
        <v>26</v>
      </c>
      <c r="K1325" s="3" t="str">
        <f t="shared" si="43"/>
        <v/>
      </c>
      <c r="L1325" s="3" t="str">
        <f>CONCATENATE("11 11.2 4b")</f>
        <v>11 11.2 4b</v>
      </c>
      <c r="M1325" s="3" t="str">
        <f>CONCATENATE("CLCNTN30H30I932W")</f>
        <v>CLCNTN30H30I932W</v>
      </c>
      <c r="N1325" s="3" t="s">
        <v>1391</v>
      </c>
      <c r="O1325" s="3"/>
      <c r="P1325" s="4">
        <v>42783</v>
      </c>
      <c r="Q1325" s="3" t="s">
        <v>27</v>
      </c>
      <c r="R1325" s="3" t="s">
        <v>28</v>
      </c>
      <c r="S1325" s="3" t="s">
        <v>29</v>
      </c>
      <c r="T1325" s="5">
        <v>4179.2</v>
      </c>
      <c r="U1325" s="5">
        <v>1802.07</v>
      </c>
      <c r="V1325" s="5">
        <v>1664.16</v>
      </c>
      <c r="W1325" s="3">
        <v>712.97</v>
      </c>
    </row>
    <row r="1326" spans="1:23" ht="60.75">
      <c r="A1326" s="3" t="s">
        <v>23</v>
      </c>
      <c r="B1326" s="3" t="s">
        <v>24</v>
      </c>
      <c r="C1326" s="3" t="s">
        <v>35</v>
      </c>
      <c r="D1326" s="3" t="s">
        <v>48</v>
      </c>
      <c r="E1326" s="3" t="s">
        <v>30</v>
      </c>
      <c r="F1326" s="3" t="s">
        <v>57</v>
      </c>
      <c r="G1326" s="3">
        <v>2016</v>
      </c>
      <c r="H1326" s="3" t="str">
        <f>CONCATENATE("64240507729")</f>
        <v>64240507729</v>
      </c>
      <c r="I1326" s="3" t="s">
        <v>25</v>
      </c>
      <c r="J1326" s="3" t="s">
        <v>26</v>
      </c>
      <c r="K1326" s="3" t="str">
        <f t="shared" ref="K1326:K1389" si="44">CONCATENATE("")</f>
        <v/>
      </c>
      <c r="L1326" s="3" t="str">
        <f>CONCATENATE("11 11.2 4b")</f>
        <v>11 11.2 4b</v>
      </c>
      <c r="M1326" s="3" t="str">
        <f>CONCATENATE("CLZPFR64H11H501L")</f>
        <v>CLZPFR64H11H501L</v>
      </c>
      <c r="N1326" s="3" t="s">
        <v>1392</v>
      </c>
      <c r="O1326" s="3"/>
      <c r="P1326" s="4">
        <v>42783</v>
      </c>
      <c r="Q1326" s="3" t="s">
        <v>27</v>
      </c>
      <c r="R1326" s="3" t="s">
        <v>28</v>
      </c>
      <c r="S1326" s="3" t="s">
        <v>29</v>
      </c>
      <c r="T1326" s="5">
        <v>3828.56</v>
      </c>
      <c r="U1326" s="5">
        <v>1650.88</v>
      </c>
      <c r="V1326" s="5">
        <v>1524.53</v>
      </c>
      <c r="W1326" s="3">
        <v>653.15</v>
      </c>
    </row>
    <row r="1327" spans="1:23" ht="36.75">
      <c r="A1327" s="3" t="s">
        <v>23</v>
      </c>
      <c r="B1327" s="3" t="s">
        <v>24</v>
      </c>
      <c r="C1327" s="3" t="s">
        <v>35</v>
      </c>
      <c r="D1327" s="3" t="s">
        <v>43</v>
      </c>
      <c r="E1327" s="3" t="s">
        <v>30</v>
      </c>
      <c r="F1327" s="3" t="s">
        <v>104</v>
      </c>
      <c r="G1327" s="3">
        <v>2016</v>
      </c>
      <c r="H1327" s="3" t="str">
        <f>CONCATENATE("64210921074")</f>
        <v>64210921074</v>
      </c>
      <c r="I1327" s="3" t="s">
        <v>25</v>
      </c>
      <c r="J1327" s="3" t="s">
        <v>26</v>
      </c>
      <c r="K1327" s="3" t="str">
        <f t="shared" si="44"/>
        <v/>
      </c>
      <c r="L1327" s="3" t="str">
        <f>CONCATENATE("13 13.1 4a")</f>
        <v>13 13.1 4a</v>
      </c>
      <c r="M1327" s="3" t="str">
        <f>CONCATENATE("01106380411")</f>
        <v>01106380411</v>
      </c>
      <c r="N1327" s="3" t="s">
        <v>1393</v>
      </c>
      <c r="O1327" s="3"/>
      <c r="P1327" s="4">
        <v>42783</v>
      </c>
      <c r="Q1327" s="3" t="s">
        <v>27</v>
      </c>
      <c r="R1327" s="3" t="s">
        <v>28</v>
      </c>
      <c r="S1327" s="3" t="s">
        <v>29</v>
      </c>
      <c r="T1327" s="5">
        <v>4090.63</v>
      </c>
      <c r="U1327" s="5">
        <v>1763.88</v>
      </c>
      <c r="V1327" s="5">
        <v>1628.89</v>
      </c>
      <c r="W1327" s="3">
        <v>697.86</v>
      </c>
    </row>
    <row r="1328" spans="1:23" ht="60.75">
      <c r="A1328" s="3" t="s">
        <v>23</v>
      </c>
      <c r="B1328" s="3" t="s">
        <v>24</v>
      </c>
      <c r="C1328" s="3" t="s">
        <v>35</v>
      </c>
      <c r="D1328" s="3" t="s">
        <v>48</v>
      </c>
      <c r="E1328" s="3" t="s">
        <v>30</v>
      </c>
      <c r="F1328" s="3" t="s">
        <v>91</v>
      </c>
      <c r="G1328" s="3">
        <v>2016</v>
      </c>
      <c r="H1328" s="3" t="str">
        <f>CONCATENATE("64240312609")</f>
        <v>64240312609</v>
      </c>
      <c r="I1328" s="3" t="s">
        <v>25</v>
      </c>
      <c r="J1328" s="3" t="s">
        <v>26</v>
      </c>
      <c r="K1328" s="3" t="str">
        <f t="shared" si="44"/>
        <v/>
      </c>
      <c r="L1328" s="3" t="str">
        <f>CONCATENATE("11 11.2 4b")</f>
        <v>11 11.2 4b</v>
      </c>
      <c r="M1328" s="3" t="str">
        <f>CONCATENATE("RLAMCR50S10G637S")</f>
        <v>RLAMCR50S10G637S</v>
      </c>
      <c r="N1328" s="3" t="s">
        <v>1394</v>
      </c>
      <c r="O1328" s="3"/>
      <c r="P1328" s="4">
        <v>42783</v>
      </c>
      <c r="Q1328" s="3" t="s">
        <v>27</v>
      </c>
      <c r="R1328" s="3" t="s">
        <v>28</v>
      </c>
      <c r="S1328" s="3" t="s">
        <v>29</v>
      </c>
      <c r="T1328" s="5">
        <v>12898.76</v>
      </c>
      <c r="U1328" s="5">
        <v>5561.95</v>
      </c>
      <c r="V1328" s="5">
        <v>5136.29</v>
      </c>
      <c r="W1328" s="5">
        <v>2200.52</v>
      </c>
    </row>
    <row r="1329" spans="1:23" ht="60.75">
      <c r="A1329" s="3" t="s">
        <v>23</v>
      </c>
      <c r="B1329" s="3" t="s">
        <v>24</v>
      </c>
      <c r="C1329" s="3" t="s">
        <v>35</v>
      </c>
      <c r="D1329" s="3" t="s">
        <v>36</v>
      </c>
      <c r="E1329" s="3" t="s">
        <v>33</v>
      </c>
      <c r="F1329" s="3" t="s">
        <v>89</v>
      </c>
      <c r="G1329" s="3">
        <v>2016</v>
      </c>
      <c r="H1329" s="3" t="str">
        <f>CONCATENATE("64240466371")</f>
        <v>64240466371</v>
      </c>
      <c r="I1329" s="3" t="s">
        <v>25</v>
      </c>
      <c r="J1329" s="3" t="s">
        <v>26</v>
      </c>
      <c r="K1329" s="3" t="str">
        <f t="shared" si="44"/>
        <v/>
      </c>
      <c r="L1329" s="3" t="str">
        <f>CONCATENATE("11 11.2 4b")</f>
        <v>11 11.2 4b</v>
      </c>
      <c r="M1329" s="3" t="str">
        <f>CONCATENATE("GDTPNI60L15Z614C")</f>
        <v>GDTPNI60L15Z614C</v>
      </c>
      <c r="N1329" s="3" t="s">
        <v>1395</v>
      </c>
      <c r="O1329" s="3"/>
      <c r="P1329" s="4">
        <v>42783</v>
      </c>
      <c r="Q1329" s="3" t="s">
        <v>27</v>
      </c>
      <c r="R1329" s="3" t="s">
        <v>28</v>
      </c>
      <c r="S1329" s="3" t="s">
        <v>29</v>
      </c>
      <c r="T1329" s="5">
        <v>9627.52</v>
      </c>
      <c r="U1329" s="5">
        <v>4151.3900000000003</v>
      </c>
      <c r="V1329" s="5">
        <v>3833.68</v>
      </c>
      <c r="W1329" s="5">
        <v>1642.45</v>
      </c>
    </row>
    <row r="1330" spans="1:23" ht="60.75">
      <c r="A1330" s="3" t="s">
        <v>23</v>
      </c>
      <c r="B1330" s="3" t="s">
        <v>24</v>
      </c>
      <c r="C1330" s="3" t="s">
        <v>35</v>
      </c>
      <c r="D1330" s="3" t="s">
        <v>36</v>
      </c>
      <c r="E1330" s="3" t="s">
        <v>42</v>
      </c>
      <c r="F1330" s="3" t="s">
        <v>42</v>
      </c>
      <c r="G1330" s="3">
        <v>2016</v>
      </c>
      <c r="H1330" s="3" t="str">
        <f>CONCATENATE("64240209086")</f>
        <v>64240209086</v>
      </c>
      <c r="I1330" s="3" t="s">
        <v>25</v>
      </c>
      <c r="J1330" s="3" t="s">
        <v>26</v>
      </c>
      <c r="K1330" s="3" t="str">
        <f t="shared" si="44"/>
        <v/>
      </c>
      <c r="L1330" s="3" t="str">
        <f>CONCATENATE("11 11.2 4b")</f>
        <v>11 11.2 4b</v>
      </c>
      <c r="M1330" s="3" t="str">
        <f>CONCATENATE("TTVLGU39A27G005P")</f>
        <v>TTVLGU39A27G005P</v>
      </c>
      <c r="N1330" s="3" t="s">
        <v>1396</v>
      </c>
      <c r="O1330" s="3"/>
      <c r="P1330" s="4">
        <v>42783</v>
      </c>
      <c r="Q1330" s="3" t="s">
        <v>27</v>
      </c>
      <c r="R1330" s="3" t="s">
        <v>28</v>
      </c>
      <c r="S1330" s="3" t="s">
        <v>29</v>
      </c>
      <c r="T1330" s="5">
        <v>4231.1499999999996</v>
      </c>
      <c r="U1330" s="5">
        <v>1824.47</v>
      </c>
      <c r="V1330" s="5">
        <v>1684.84</v>
      </c>
      <c r="W1330" s="3">
        <v>721.84</v>
      </c>
    </row>
    <row r="1331" spans="1:23" ht="60.75">
      <c r="A1331" s="3" t="s">
        <v>23</v>
      </c>
      <c r="B1331" s="3" t="s">
        <v>24</v>
      </c>
      <c r="C1331" s="3" t="s">
        <v>35</v>
      </c>
      <c r="D1331" s="3" t="s">
        <v>36</v>
      </c>
      <c r="E1331" s="3" t="s">
        <v>30</v>
      </c>
      <c r="F1331" s="3" t="s">
        <v>37</v>
      </c>
      <c r="G1331" s="3">
        <v>2016</v>
      </c>
      <c r="H1331" s="3" t="str">
        <f>CONCATENATE("64240649505")</f>
        <v>64240649505</v>
      </c>
      <c r="I1331" s="3" t="s">
        <v>25</v>
      </c>
      <c r="J1331" s="3" t="s">
        <v>26</v>
      </c>
      <c r="K1331" s="3" t="str">
        <f t="shared" si="44"/>
        <v/>
      </c>
      <c r="L1331" s="3" t="str">
        <f>CONCATENATE("10 10.1 4b")</f>
        <v>10 10.1 4b</v>
      </c>
      <c r="M1331" s="3" t="str">
        <f>CONCATENATE("FDRLRA70L45H390B")</f>
        <v>FDRLRA70L45H390B</v>
      </c>
      <c r="N1331" s="3" t="s">
        <v>1397</v>
      </c>
      <c r="O1331" s="3"/>
      <c r="P1331" s="4">
        <v>42783</v>
      </c>
      <c r="Q1331" s="3" t="s">
        <v>27</v>
      </c>
      <c r="R1331" s="3" t="s">
        <v>28</v>
      </c>
      <c r="S1331" s="3" t="s">
        <v>29</v>
      </c>
      <c r="T1331" s="5">
        <v>1209.69</v>
      </c>
      <c r="U1331" s="3">
        <v>521.62</v>
      </c>
      <c r="V1331" s="3">
        <v>481.7</v>
      </c>
      <c r="W1331" s="3">
        <v>206.37</v>
      </c>
    </row>
    <row r="1332" spans="1:23" ht="60.75">
      <c r="A1332" s="3" t="s">
        <v>23</v>
      </c>
      <c r="B1332" s="3" t="s">
        <v>24</v>
      </c>
      <c r="C1332" s="3" t="s">
        <v>35</v>
      </c>
      <c r="D1332" s="3" t="s">
        <v>36</v>
      </c>
      <c r="E1332" s="3" t="s">
        <v>33</v>
      </c>
      <c r="F1332" s="3" t="s">
        <v>360</v>
      </c>
      <c r="G1332" s="3">
        <v>2016</v>
      </c>
      <c r="H1332" s="3" t="str">
        <f>CONCATENATE("64240450060")</f>
        <v>64240450060</v>
      </c>
      <c r="I1332" s="3" t="s">
        <v>25</v>
      </c>
      <c r="J1332" s="3" t="s">
        <v>26</v>
      </c>
      <c r="K1332" s="3" t="str">
        <f t="shared" si="44"/>
        <v/>
      </c>
      <c r="L1332" s="3" t="str">
        <f>CONCATENATE("10 10.1 4b")</f>
        <v>10 10.1 4b</v>
      </c>
      <c r="M1332" s="3" t="str">
        <f>CONCATENATE("CRTRCR54S24F415N")</f>
        <v>CRTRCR54S24F415N</v>
      </c>
      <c r="N1332" s="3" t="s">
        <v>1398</v>
      </c>
      <c r="O1332" s="3"/>
      <c r="P1332" s="4">
        <v>42783</v>
      </c>
      <c r="Q1332" s="3" t="s">
        <v>27</v>
      </c>
      <c r="R1332" s="3" t="s">
        <v>28</v>
      </c>
      <c r="S1332" s="3" t="s">
        <v>29</v>
      </c>
      <c r="T1332" s="5">
        <v>2914.79</v>
      </c>
      <c r="U1332" s="5">
        <v>1256.8599999999999</v>
      </c>
      <c r="V1332" s="5">
        <v>1160.67</v>
      </c>
      <c r="W1332" s="3">
        <v>497.26</v>
      </c>
    </row>
    <row r="1333" spans="1:23" ht="60.75">
      <c r="A1333" s="3" t="s">
        <v>23</v>
      </c>
      <c r="B1333" s="3" t="s">
        <v>24</v>
      </c>
      <c r="C1333" s="3" t="s">
        <v>35</v>
      </c>
      <c r="D1333" s="3" t="s">
        <v>43</v>
      </c>
      <c r="E1333" s="3" t="s">
        <v>30</v>
      </c>
      <c r="F1333" s="3" t="s">
        <v>124</v>
      </c>
      <c r="G1333" s="3">
        <v>2016</v>
      </c>
      <c r="H1333" s="3" t="str">
        <f>CONCATENATE("64240471082")</f>
        <v>64240471082</v>
      </c>
      <c r="I1333" s="3" t="s">
        <v>25</v>
      </c>
      <c r="J1333" s="3" t="s">
        <v>26</v>
      </c>
      <c r="K1333" s="3" t="str">
        <f t="shared" si="44"/>
        <v/>
      </c>
      <c r="L1333" s="3" t="str">
        <f>CONCATENATE("11 11.2 4b")</f>
        <v>11 11.2 4b</v>
      </c>
      <c r="M1333" s="3" t="str">
        <f>CONCATENATE("CRDGRG59A01F135P")</f>
        <v>CRDGRG59A01F135P</v>
      </c>
      <c r="N1333" s="3" t="s">
        <v>1399</v>
      </c>
      <c r="O1333" s="3"/>
      <c r="P1333" s="4">
        <v>42783</v>
      </c>
      <c r="Q1333" s="3" t="s">
        <v>27</v>
      </c>
      <c r="R1333" s="3" t="s">
        <v>28</v>
      </c>
      <c r="S1333" s="3" t="s">
        <v>29</v>
      </c>
      <c r="T1333" s="5">
        <v>7650.7</v>
      </c>
      <c r="U1333" s="5">
        <v>3298.98</v>
      </c>
      <c r="V1333" s="5">
        <v>3046.51</v>
      </c>
      <c r="W1333" s="5">
        <v>1305.21</v>
      </c>
    </row>
    <row r="1334" spans="1:23" ht="72.75">
      <c r="A1334" s="3" t="s">
        <v>23</v>
      </c>
      <c r="B1334" s="3" t="s">
        <v>24</v>
      </c>
      <c r="C1334" s="3" t="s">
        <v>35</v>
      </c>
      <c r="D1334" s="3" t="s">
        <v>36</v>
      </c>
      <c r="E1334" s="3" t="s">
        <v>30</v>
      </c>
      <c r="F1334" s="3" t="s">
        <v>37</v>
      </c>
      <c r="G1334" s="3">
        <v>2016</v>
      </c>
      <c r="H1334" s="3" t="str">
        <f>CONCATENATE("64240363503")</f>
        <v>64240363503</v>
      </c>
      <c r="I1334" s="3" t="s">
        <v>25</v>
      </c>
      <c r="J1334" s="3" t="s">
        <v>26</v>
      </c>
      <c r="K1334" s="3" t="str">
        <f t="shared" si="44"/>
        <v/>
      </c>
      <c r="L1334" s="3" t="str">
        <f>CONCATENATE("11 11.2 4b")</f>
        <v>11 11.2 4b</v>
      </c>
      <c r="M1334" s="3" t="str">
        <f>CONCATENATE("CSCMSM70T05F205B")</f>
        <v>CSCMSM70T05F205B</v>
      </c>
      <c r="N1334" s="3" t="s">
        <v>1400</v>
      </c>
      <c r="O1334" s="3"/>
      <c r="P1334" s="4">
        <v>42783</v>
      </c>
      <c r="Q1334" s="3" t="s">
        <v>27</v>
      </c>
      <c r="R1334" s="3" t="s">
        <v>28</v>
      </c>
      <c r="S1334" s="3" t="s">
        <v>29</v>
      </c>
      <c r="T1334" s="3">
        <v>839.88</v>
      </c>
      <c r="U1334" s="3">
        <v>362.16</v>
      </c>
      <c r="V1334" s="3">
        <v>334.44</v>
      </c>
      <c r="W1334" s="3">
        <v>143.28</v>
      </c>
    </row>
    <row r="1335" spans="1:23" ht="60.75">
      <c r="A1335" s="3" t="s">
        <v>23</v>
      </c>
      <c r="B1335" s="3" t="s">
        <v>24</v>
      </c>
      <c r="C1335" s="3" t="s">
        <v>35</v>
      </c>
      <c r="D1335" s="3" t="s">
        <v>39</v>
      </c>
      <c r="E1335" s="3" t="s">
        <v>33</v>
      </c>
      <c r="F1335" s="3" t="s">
        <v>584</v>
      </c>
      <c r="G1335" s="3">
        <v>2016</v>
      </c>
      <c r="H1335" s="3" t="str">
        <f>CONCATENATE("64240266177")</f>
        <v>64240266177</v>
      </c>
      <c r="I1335" s="3" t="s">
        <v>25</v>
      </c>
      <c r="J1335" s="3" t="s">
        <v>26</v>
      </c>
      <c r="K1335" s="3" t="str">
        <f t="shared" si="44"/>
        <v/>
      </c>
      <c r="L1335" s="3" t="str">
        <f>CONCATENATE("11 11.1 4b")</f>
        <v>11 11.1 4b</v>
      </c>
      <c r="M1335" s="3" t="str">
        <f>CONCATENATE("TTVTRS52R45I461V")</f>
        <v>TTVTRS52R45I461V</v>
      </c>
      <c r="N1335" s="3" t="s">
        <v>1401</v>
      </c>
      <c r="O1335" s="3"/>
      <c r="P1335" s="4">
        <v>42783</v>
      </c>
      <c r="Q1335" s="3" t="s">
        <v>27</v>
      </c>
      <c r="R1335" s="3" t="s">
        <v>28</v>
      </c>
      <c r="S1335" s="3" t="s">
        <v>29</v>
      </c>
      <c r="T1335" s="5">
        <v>3711.47</v>
      </c>
      <c r="U1335" s="5">
        <v>1600.39</v>
      </c>
      <c r="V1335" s="5">
        <v>1477.91</v>
      </c>
      <c r="W1335" s="3">
        <v>633.16999999999996</v>
      </c>
    </row>
    <row r="1336" spans="1:23" ht="36.75">
      <c r="A1336" s="3" t="s">
        <v>23</v>
      </c>
      <c r="B1336" s="3" t="s">
        <v>24</v>
      </c>
      <c r="C1336" s="3" t="s">
        <v>35</v>
      </c>
      <c r="D1336" s="3" t="s">
        <v>48</v>
      </c>
      <c r="E1336" s="3" t="s">
        <v>30</v>
      </c>
      <c r="F1336" s="3" t="s">
        <v>55</v>
      </c>
      <c r="G1336" s="3">
        <v>2016</v>
      </c>
      <c r="H1336" s="3" t="str">
        <f>CONCATENATE("64240489423")</f>
        <v>64240489423</v>
      </c>
      <c r="I1336" s="3" t="s">
        <v>25</v>
      </c>
      <c r="J1336" s="3" t="s">
        <v>26</v>
      </c>
      <c r="K1336" s="3" t="str">
        <f t="shared" si="44"/>
        <v/>
      </c>
      <c r="L1336" s="3" t="str">
        <f>CONCATENATE("11 11.1 4b")</f>
        <v>11 11.1 4b</v>
      </c>
      <c r="M1336" s="3" t="str">
        <f>CONCATENATE("01774620437")</f>
        <v>01774620437</v>
      </c>
      <c r="N1336" s="3" t="s">
        <v>1402</v>
      </c>
      <c r="O1336" s="3"/>
      <c r="P1336" s="4">
        <v>42783</v>
      </c>
      <c r="Q1336" s="3" t="s">
        <v>27</v>
      </c>
      <c r="R1336" s="3" t="s">
        <v>28</v>
      </c>
      <c r="S1336" s="3" t="s">
        <v>29</v>
      </c>
      <c r="T1336" s="5">
        <v>4010.94</v>
      </c>
      <c r="U1336" s="5">
        <v>1729.52</v>
      </c>
      <c r="V1336" s="5">
        <v>1597.16</v>
      </c>
      <c r="W1336" s="3">
        <v>684.26</v>
      </c>
    </row>
    <row r="1337" spans="1:23" ht="72.75">
      <c r="A1337" s="3" t="s">
        <v>23</v>
      </c>
      <c r="B1337" s="3" t="s">
        <v>24</v>
      </c>
      <c r="C1337" s="3" t="s">
        <v>35</v>
      </c>
      <c r="D1337" s="3" t="s">
        <v>43</v>
      </c>
      <c r="E1337" s="3" t="s">
        <v>49</v>
      </c>
      <c r="F1337" s="3" t="s">
        <v>276</v>
      </c>
      <c r="G1337" s="3">
        <v>2016</v>
      </c>
      <c r="H1337" s="3" t="str">
        <f>CONCATENATE("64240692075")</f>
        <v>64240692075</v>
      </c>
      <c r="I1337" s="3" t="s">
        <v>25</v>
      </c>
      <c r="J1337" s="3" t="s">
        <v>26</v>
      </c>
      <c r="K1337" s="3" t="str">
        <f t="shared" si="44"/>
        <v/>
      </c>
      <c r="L1337" s="3" t="str">
        <f>CONCATENATE("11 11.2 4b")</f>
        <v>11 11.2 4b</v>
      </c>
      <c r="M1337" s="3" t="str">
        <f>CONCATENATE("GVNFNC78R03D488G")</f>
        <v>GVNFNC78R03D488G</v>
      </c>
      <c r="N1337" s="3" t="s">
        <v>1403</v>
      </c>
      <c r="O1337" s="3"/>
      <c r="P1337" s="4">
        <v>42783</v>
      </c>
      <c r="Q1337" s="3" t="s">
        <v>27</v>
      </c>
      <c r="R1337" s="3" t="s">
        <v>28</v>
      </c>
      <c r="S1337" s="3" t="s">
        <v>29</v>
      </c>
      <c r="T1337" s="5">
        <v>2156.42</v>
      </c>
      <c r="U1337" s="3">
        <v>929.85</v>
      </c>
      <c r="V1337" s="3">
        <v>858.69</v>
      </c>
      <c r="W1337" s="3">
        <v>367.88</v>
      </c>
    </row>
    <row r="1338" spans="1:23" ht="60.75">
      <c r="A1338" s="3" t="s">
        <v>23</v>
      </c>
      <c r="B1338" s="3" t="s">
        <v>24</v>
      </c>
      <c r="C1338" s="3" t="s">
        <v>35</v>
      </c>
      <c r="D1338" s="3" t="s">
        <v>48</v>
      </c>
      <c r="E1338" s="3" t="s">
        <v>49</v>
      </c>
      <c r="F1338" s="3" t="s">
        <v>74</v>
      </c>
      <c r="G1338" s="3">
        <v>2016</v>
      </c>
      <c r="H1338" s="3" t="str">
        <f>CONCATENATE("64210790404")</f>
        <v>64210790404</v>
      </c>
      <c r="I1338" s="3" t="s">
        <v>25</v>
      </c>
      <c r="J1338" s="3" t="s">
        <v>26</v>
      </c>
      <c r="K1338" s="3" t="str">
        <f t="shared" si="44"/>
        <v/>
      </c>
      <c r="L1338" s="3" t="str">
        <f>CONCATENATE("13 13.1 4a")</f>
        <v>13 13.1 4a</v>
      </c>
      <c r="M1338" s="3" t="str">
        <f>CONCATENATE("BNVRHL95C61D024Q")</f>
        <v>BNVRHL95C61D024Q</v>
      </c>
      <c r="N1338" s="3" t="s">
        <v>1404</v>
      </c>
      <c r="O1338" s="3"/>
      <c r="P1338" s="4">
        <v>42783</v>
      </c>
      <c r="Q1338" s="3" t="s">
        <v>27</v>
      </c>
      <c r="R1338" s="3" t="s">
        <v>28</v>
      </c>
      <c r="S1338" s="3" t="s">
        <v>29</v>
      </c>
      <c r="T1338" s="5">
        <v>4590</v>
      </c>
      <c r="U1338" s="5">
        <v>1979.21</v>
      </c>
      <c r="V1338" s="5">
        <v>1827.74</v>
      </c>
      <c r="W1338" s="3">
        <v>783.05</v>
      </c>
    </row>
    <row r="1339" spans="1:23" ht="72.75">
      <c r="A1339" s="3" t="s">
        <v>23</v>
      </c>
      <c r="B1339" s="3" t="s">
        <v>24</v>
      </c>
      <c r="C1339" s="3" t="s">
        <v>35</v>
      </c>
      <c r="D1339" s="3" t="s">
        <v>36</v>
      </c>
      <c r="E1339" s="3" t="s">
        <v>33</v>
      </c>
      <c r="F1339" s="3" t="s">
        <v>89</v>
      </c>
      <c r="G1339" s="3">
        <v>2016</v>
      </c>
      <c r="H1339" s="3" t="str">
        <f>CONCATENATE("64240509766")</f>
        <v>64240509766</v>
      </c>
      <c r="I1339" s="3" t="s">
        <v>25</v>
      </c>
      <c r="J1339" s="3" t="s">
        <v>26</v>
      </c>
      <c r="K1339" s="3" t="str">
        <f t="shared" si="44"/>
        <v/>
      </c>
      <c r="L1339" s="3" t="str">
        <f>CONCATENATE("11 11.2 4b")</f>
        <v>11 11.2 4b</v>
      </c>
      <c r="M1339" s="3" t="str">
        <f>CONCATENATE("RRGVCN62M16D691B")</f>
        <v>RRGVCN62M16D691B</v>
      </c>
      <c r="N1339" s="3" t="s">
        <v>1405</v>
      </c>
      <c r="O1339" s="3"/>
      <c r="P1339" s="4">
        <v>42783</v>
      </c>
      <c r="Q1339" s="3" t="s">
        <v>27</v>
      </c>
      <c r="R1339" s="3" t="s">
        <v>28</v>
      </c>
      <c r="S1339" s="3" t="s">
        <v>29</v>
      </c>
      <c r="T1339" s="5">
        <v>3586.01</v>
      </c>
      <c r="U1339" s="5">
        <v>1546.29</v>
      </c>
      <c r="V1339" s="5">
        <v>1427.95</v>
      </c>
      <c r="W1339" s="3">
        <v>611.77</v>
      </c>
    </row>
    <row r="1340" spans="1:23" ht="60.75">
      <c r="A1340" s="3" t="s">
        <v>23</v>
      </c>
      <c r="B1340" s="3" t="s">
        <v>24</v>
      </c>
      <c r="C1340" s="3" t="s">
        <v>35</v>
      </c>
      <c r="D1340" s="3" t="s">
        <v>48</v>
      </c>
      <c r="E1340" s="3" t="s">
        <v>30</v>
      </c>
      <c r="F1340" s="3" t="s">
        <v>257</v>
      </c>
      <c r="G1340" s="3">
        <v>2016</v>
      </c>
      <c r="H1340" s="3" t="str">
        <f>CONCATENATE("64240428843")</f>
        <v>64240428843</v>
      </c>
      <c r="I1340" s="3" t="s">
        <v>25</v>
      </c>
      <c r="J1340" s="3" t="s">
        <v>26</v>
      </c>
      <c r="K1340" s="3" t="str">
        <f t="shared" si="44"/>
        <v/>
      </c>
      <c r="L1340" s="3" t="str">
        <f>CONCATENATE("11 11.2 4b")</f>
        <v>11 11.2 4b</v>
      </c>
      <c r="M1340" s="3" t="str">
        <f>CONCATENATE("MCHMCL61L12D691O")</f>
        <v>MCHMCL61L12D691O</v>
      </c>
      <c r="N1340" s="3" t="s">
        <v>1406</v>
      </c>
      <c r="O1340" s="3"/>
      <c r="P1340" s="4">
        <v>42783</v>
      </c>
      <c r="Q1340" s="3" t="s">
        <v>27</v>
      </c>
      <c r="R1340" s="3" t="s">
        <v>28</v>
      </c>
      <c r="S1340" s="3" t="s">
        <v>29</v>
      </c>
      <c r="T1340" s="5">
        <v>2417.44</v>
      </c>
      <c r="U1340" s="5">
        <v>1042.4000000000001</v>
      </c>
      <c r="V1340" s="3">
        <v>962.62</v>
      </c>
      <c r="W1340" s="3">
        <v>412.42</v>
      </c>
    </row>
    <row r="1341" spans="1:23" ht="60.75">
      <c r="A1341" s="3" t="s">
        <v>23</v>
      </c>
      <c r="B1341" s="3" t="s">
        <v>24</v>
      </c>
      <c r="C1341" s="3" t="s">
        <v>35</v>
      </c>
      <c r="D1341" s="3" t="s">
        <v>48</v>
      </c>
      <c r="E1341" s="3" t="s">
        <v>33</v>
      </c>
      <c r="F1341" s="3" t="s">
        <v>358</v>
      </c>
      <c r="G1341" s="3">
        <v>2016</v>
      </c>
      <c r="H1341" s="3" t="str">
        <f>CONCATENATE("64240563953")</f>
        <v>64240563953</v>
      </c>
      <c r="I1341" s="3" t="s">
        <v>31</v>
      </c>
      <c r="J1341" s="3" t="s">
        <v>26</v>
      </c>
      <c r="K1341" s="3" t="str">
        <f t="shared" si="44"/>
        <v/>
      </c>
      <c r="L1341" s="3" t="str">
        <f>CONCATENATE("11 11.2 4b")</f>
        <v>11 11.2 4b</v>
      </c>
      <c r="M1341" s="3" t="str">
        <f>CONCATENATE("RZONCL51A02L366C")</f>
        <v>RZONCL51A02L366C</v>
      </c>
      <c r="N1341" s="3" t="s">
        <v>1407</v>
      </c>
      <c r="O1341" s="3"/>
      <c r="P1341" s="4">
        <v>42783</v>
      </c>
      <c r="Q1341" s="3" t="s">
        <v>27</v>
      </c>
      <c r="R1341" s="3" t="s">
        <v>28</v>
      </c>
      <c r="S1341" s="3" t="s">
        <v>29</v>
      </c>
      <c r="T1341" s="5">
        <v>1531.44</v>
      </c>
      <c r="U1341" s="3">
        <v>660.36</v>
      </c>
      <c r="V1341" s="3">
        <v>609.82000000000005</v>
      </c>
      <c r="W1341" s="3">
        <v>261.26</v>
      </c>
    </row>
    <row r="1342" spans="1:23" ht="60.75">
      <c r="A1342" s="3" t="s">
        <v>23</v>
      </c>
      <c r="B1342" s="3" t="s">
        <v>24</v>
      </c>
      <c r="C1342" s="3" t="s">
        <v>35</v>
      </c>
      <c r="D1342" s="3" t="s">
        <v>48</v>
      </c>
      <c r="E1342" s="3" t="s">
        <v>49</v>
      </c>
      <c r="F1342" s="3" t="s">
        <v>50</v>
      </c>
      <c r="G1342" s="3">
        <v>2016</v>
      </c>
      <c r="H1342" s="3" t="str">
        <f>CONCATENATE("64211045667")</f>
        <v>64211045667</v>
      </c>
      <c r="I1342" s="3" t="s">
        <v>25</v>
      </c>
      <c r="J1342" s="3" t="s">
        <v>26</v>
      </c>
      <c r="K1342" s="3" t="str">
        <f t="shared" si="44"/>
        <v/>
      </c>
      <c r="L1342" s="3" t="str">
        <f>CONCATENATE("13 13.1 4a")</f>
        <v>13 13.1 4a</v>
      </c>
      <c r="M1342" s="3" t="str">
        <f>CONCATENATE("SCLRRT58P14D024H")</f>
        <v>SCLRRT58P14D024H</v>
      </c>
      <c r="N1342" s="3" t="s">
        <v>1408</v>
      </c>
      <c r="O1342" s="3"/>
      <c r="P1342" s="4">
        <v>42783</v>
      </c>
      <c r="Q1342" s="3" t="s">
        <v>27</v>
      </c>
      <c r="R1342" s="3" t="s">
        <v>28</v>
      </c>
      <c r="S1342" s="3" t="s">
        <v>29</v>
      </c>
      <c r="T1342" s="5">
        <v>4406.3999999999996</v>
      </c>
      <c r="U1342" s="5">
        <v>1900.04</v>
      </c>
      <c r="V1342" s="5">
        <v>1754.63</v>
      </c>
      <c r="W1342" s="3">
        <v>751.73</v>
      </c>
    </row>
    <row r="1343" spans="1:23" ht="60.75">
      <c r="A1343" s="3" t="s">
        <v>23</v>
      </c>
      <c r="B1343" s="3" t="s">
        <v>24</v>
      </c>
      <c r="C1343" s="3" t="s">
        <v>35</v>
      </c>
      <c r="D1343" s="3" t="s">
        <v>43</v>
      </c>
      <c r="E1343" s="3" t="s">
        <v>34</v>
      </c>
      <c r="F1343" s="3" t="s">
        <v>146</v>
      </c>
      <c r="G1343" s="3">
        <v>2016</v>
      </c>
      <c r="H1343" s="3" t="str">
        <f>CONCATENATE("64240150835")</f>
        <v>64240150835</v>
      </c>
      <c r="I1343" s="3" t="s">
        <v>25</v>
      </c>
      <c r="J1343" s="3" t="s">
        <v>26</v>
      </c>
      <c r="K1343" s="3" t="str">
        <f t="shared" si="44"/>
        <v/>
      </c>
      <c r="L1343" s="3" t="str">
        <f>CONCATENATE("11 11.2 4b")</f>
        <v>11 11.2 4b</v>
      </c>
      <c r="M1343" s="3" t="str">
        <f>CONCATENATE("PNTGLN37C55A035D")</f>
        <v>PNTGLN37C55A035D</v>
      </c>
      <c r="N1343" s="3" t="s">
        <v>1409</v>
      </c>
      <c r="O1343" s="3"/>
      <c r="P1343" s="4">
        <v>42783</v>
      </c>
      <c r="Q1343" s="3" t="s">
        <v>27</v>
      </c>
      <c r="R1343" s="3" t="s">
        <v>28</v>
      </c>
      <c r="S1343" s="3" t="s">
        <v>29</v>
      </c>
      <c r="T1343" s="3">
        <v>891.35</v>
      </c>
      <c r="U1343" s="3">
        <v>384.35</v>
      </c>
      <c r="V1343" s="3">
        <v>354.94</v>
      </c>
      <c r="W1343" s="3">
        <v>152.06</v>
      </c>
    </row>
    <row r="1344" spans="1:23" ht="36.75">
      <c r="A1344" s="3" t="s">
        <v>23</v>
      </c>
      <c r="B1344" s="3" t="s">
        <v>24</v>
      </c>
      <c r="C1344" s="3" t="s">
        <v>35</v>
      </c>
      <c r="D1344" s="3" t="s">
        <v>36</v>
      </c>
      <c r="E1344" s="3" t="s">
        <v>59</v>
      </c>
      <c r="F1344" s="3" t="s">
        <v>62</v>
      </c>
      <c r="G1344" s="3">
        <v>2016</v>
      </c>
      <c r="H1344" s="3" t="str">
        <f>CONCATENATE("64240325460")</f>
        <v>64240325460</v>
      </c>
      <c r="I1344" s="3" t="s">
        <v>25</v>
      </c>
      <c r="J1344" s="3" t="s">
        <v>26</v>
      </c>
      <c r="K1344" s="3" t="str">
        <f t="shared" si="44"/>
        <v/>
      </c>
      <c r="L1344" s="3" t="str">
        <f>CONCATENATE("11 11.2 4b")</f>
        <v>11 11.2 4b</v>
      </c>
      <c r="M1344" s="3" t="str">
        <f>CONCATENATE("01709870446")</f>
        <v>01709870446</v>
      </c>
      <c r="N1344" s="3" t="s">
        <v>1410</v>
      </c>
      <c r="O1344" s="3"/>
      <c r="P1344" s="4">
        <v>42783</v>
      </c>
      <c r="Q1344" s="3" t="s">
        <v>27</v>
      </c>
      <c r="R1344" s="3" t="s">
        <v>28</v>
      </c>
      <c r="S1344" s="3" t="s">
        <v>29</v>
      </c>
      <c r="T1344" s="5">
        <v>8199.9500000000007</v>
      </c>
      <c r="U1344" s="5">
        <v>3535.82</v>
      </c>
      <c r="V1344" s="5">
        <v>3265.22</v>
      </c>
      <c r="W1344" s="5">
        <v>1398.91</v>
      </c>
    </row>
    <row r="1345" spans="1:23" ht="60.75">
      <c r="A1345" s="3" t="s">
        <v>23</v>
      </c>
      <c r="B1345" s="3" t="s">
        <v>24</v>
      </c>
      <c r="C1345" s="3" t="s">
        <v>35</v>
      </c>
      <c r="D1345" s="3" t="s">
        <v>48</v>
      </c>
      <c r="E1345" s="3" t="s">
        <v>32</v>
      </c>
      <c r="F1345" s="3" t="s">
        <v>69</v>
      </c>
      <c r="G1345" s="3">
        <v>2016</v>
      </c>
      <c r="H1345" s="3" t="str">
        <f>CONCATENATE("64240660544")</f>
        <v>64240660544</v>
      </c>
      <c r="I1345" s="3" t="s">
        <v>25</v>
      </c>
      <c r="J1345" s="3" t="s">
        <v>26</v>
      </c>
      <c r="K1345" s="3" t="str">
        <f t="shared" si="44"/>
        <v/>
      </c>
      <c r="L1345" s="3" t="str">
        <f>CONCATENATE("11 11.2 4b")</f>
        <v>11 11.2 4b</v>
      </c>
      <c r="M1345" s="3" t="str">
        <f>CONCATENATE("MCAMGS61R55I661H")</f>
        <v>MCAMGS61R55I661H</v>
      </c>
      <c r="N1345" s="3" t="s">
        <v>563</v>
      </c>
      <c r="O1345" s="3"/>
      <c r="P1345" s="4">
        <v>42783</v>
      </c>
      <c r="Q1345" s="3" t="s">
        <v>27</v>
      </c>
      <c r="R1345" s="3" t="s">
        <v>28</v>
      </c>
      <c r="S1345" s="3" t="s">
        <v>29</v>
      </c>
      <c r="T1345" s="5">
        <v>10702.31</v>
      </c>
      <c r="U1345" s="5">
        <v>4614.84</v>
      </c>
      <c r="V1345" s="5">
        <v>4261.66</v>
      </c>
      <c r="W1345" s="5">
        <v>1825.81</v>
      </c>
    </row>
    <row r="1346" spans="1:23" ht="36.75">
      <c r="A1346" s="3" t="s">
        <v>23</v>
      </c>
      <c r="B1346" s="3" t="s">
        <v>24</v>
      </c>
      <c r="C1346" s="3" t="s">
        <v>35</v>
      </c>
      <c r="D1346" s="3" t="s">
        <v>39</v>
      </c>
      <c r="E1346" s="3" t="s">
        <v>34</v>
      </c>
      <c r="F1346" s="3" t="s">
        <v>146</v>
      </c>
      <c r="G1346" s="3">
        <v>2016</v>
      </c>
      <c r="H1346" s="3" t="str">
        <f>CONCATENATE("64240410825")</f>
        <v>64240410825</v>
      </c>
      <c r="I1346" s="3" t="s">
        <v>25</v>
      </c>
      <c r="J1346" s="3" t="s">
        <v>26</v>
      </c>
      <c r="K1346" s="3" t="str">
        <f t="shared" si="44"/>
        <v/>
      </c>
      <c r="L1346" s="3" t="str">
        <f>CONCATENATE("11 11.2 4b")</f>
        <v>11 11.2 4b</v>
      </c>
      <c r="M1346" s="3" t="str">
        <f>CONCATENATE("02399120423")</f>
        <v>02399120423</v>
      </c>
      <c r="N1346" s="3" t="s">
        <v>1411</v>
      </c>
      <c r="O1346" s="3"/>
      <c r="P1346" s="4">
        <v>42783</v>
      </c>
      <c r="Q1346" s="3" t="s">
        <v>27</v>
      </c>
      <c r="R1346" s="3" t="s">
        <v>28</v>
      </c>
      <c r="S1346" s="3" t="s">
        <v>29</v>
      </c>
      <c r="T1346" s="5">
        <v>11848.41</v>
      </c>
      <c r="U1346" s="5">
        <v>5109.03</v>
      </c>
      <c r="V1346" s="5">
        <v>4718.04</v>
      </c>
      <c r="W1346" s="5">
        <v>2021.34</v>
      </c>
    </row>
    <row r="1347" spans="1:23" ht="60.75">
      <c r="A1347" s="3" t="s">
        <v>23</v>
      </c>
      <c r="B1347" s="3" t="s">
        <v>24</v>
      </c>
      <c r="C1347" s="3" t="s">
        <v>35</v>
      </c>
      <c r="D1347" s="3" t="s">
        <v>48</v>
      </c>
      <c r="E1347" s="3" t="s">
        <v>30</v>
      </c>
      <c r="F1347" s="3" t="s">
        <v>157</v>
      </c>
      <c r="G1347" s="3">
        <v>2016</v>
      </c>
      <c r="H1347" s="3" t="str">
        <f>CONCATENATE("64240435004")</f>
        <v>64240435004</v>
      </c>
      <c r="I1347" s="3" t="s">
        <v>25</v>
      </c>
      <c r="J1347" s="3" t="s">
        <v>26</v>
      </c>
      <c r="K1347" s="3" t="str">
        <f t="shared" si="44"/>
        <v/>
      </c>
      <c r="L1347" s="3" t="str">
        <f>CONCATENATE("11 11.2 4b")</f>
        <v>11 11.2 4b</v>
      </c>
      <c r="M1347" s="3" t="str">
        <f>CONCATENATE("FRRCST71E52F205B")</f>
        <v>FRRCST71E52F205B</v>
      </c>
      <c r="N1347" s="3" t="s">
        <v>1412</v>
      </c>
      <c r="O1347" s="3"/>
      <c r="P1347" s="4">
        <v>42783</v>
      </c>
      <c r="Q1347" s="3" t="s">
        <v>27</v>
      </c>
      <c r="R1347" s="3" t="s">
        <v>28</v>
      </c>
      <c r="S1347" s="3" t="s">
        <v>29</v>
      </c>
      <c r="T1347" s="3">
        <v>808.34</v>
      </c>
      <c r="U1347" s="3">
        <v>348.56</v>
      </c>
      <c r="V1347" s="3">
        <v>321.88</v>
      </c>
      <c r="W1347" s="3">
        <v>137.9</v>
      </c>
    </row>
    <row r="1348" spans="1:23" ht="60.75">
      <c r="A1348" s="3" t="s">
        <v>23</v>
      </c>
      <c r="B1348" s="3" t="s">
        <v>24</v>
      </c>
      <c r="C1348" s="3" t="s">
        <v>35</v>
      </c>
      <c r="D1348" s="3" t="s">
        <v>36</v>
      </c>
      <c r="E1348" s="3" t="s">
        <v>32</v>
      </c>
      <c r="F1348" s="3" t="s">
        <v>179</v>
      </c>
      <c r="G1348" s="3">
        <v>2016</v>
      </c>
      <c r="H1348" s="3" t="str">
        <f>CONCATENATE("64210428054")</f>
        <v>64210428054</v>
      </c>
      <c r="I1348" s="3" t="s">
        <v>25</v>
      </c>
      <c r="J1348" s="3" t="s">
        <v>26</v>
      </c>
      <c r="K1348" s="3" t="str">
        <f t="shared" si="44"/>
        <v/>
      </c>
      <c r="L1348" s="3" t="str">
        <f>CONCATENATE("13 13.1 4a")</f>
        <v>13 13.1 4a</v>
      </c>
      <c r="M1348" s="3" t="str">
        <f>CONCATENATE("RSSPLA89S20A252L")</f>
        <v>RSSPLA89S20A252L</v>
      </c>
      <c r="N1348" s="3" t="s">
        <v>474</v>
      </c>
      <c r="O1348" s="3"/>
      <c r="P1348" s="4">
        <v>42783</v>
      </c>
      <c r="Q1348" s="3" t="s">
        <v>27</v>
      </c>
      <c r="R1348" s="3" t="s">
        <v>28</v>
      </c>
      <c r="S1348" s="3" t="s">
        <v>29</v>
      </c>
      <c r="T1348" s="5">
        <v>3272.09</v>
      </c>
      <c r="U1348" s="5">
        <v>1410.93</v>
      </c>
      <c r="V1348" s="5">
        <v>1302.95</v>
      </c>
      <c r="W1348" s="3">
        <v>558.21</v>
      </c>
    </row>
    <row r="1349" spans="1:23" ht="60.75">
      <c r="A1349" s="3" t="s">
        <v>23</v>
      </c>
      <c r="B1349" s="3" t="s">
        <v>24</v>
      </c>
      <c r="C1349" s="3" t="s">
        <v>35</v>
      </c>
      <c r="D1349" s="3" t="s">
        <v>48</v>
      </c>
      <c r="E1349" s="3" t="s">
        <v>30</v>
      </c>
      <c r="F1349" s="3" t="s">
        <v>157</v>
      </c>
      <c r="G1349" s="3">
        <v>2016</v>
      </c>
      <c r="H1349" s="3" t="str">
        <f>CONCATENATE("64240325973")</f>
        <v>64240325973</v>
      </c>
      <c r="I1349" s="3" t="s">
        <v>25</v>
      </c>
      <c r="J1349" s="3" t="s">
        <v>26</v>
      </c>
      <c r="K1349" s="3" t="str">
        <f t="shared" si="44"/>
        <v/>
      </c>
      <c r="L1349" s="3" t="str">
        <f>CONCATENATE("11 11.2 4b")</f>
        <v>11 11.2 4b</v>
      </c>
      <c r="M1349" s="3" t="str">
        <f>CONCATENATE("FNRFNC64M28I436Y")</f>
        <v>FNRFNC64M28I436Y</v>
      </c>
      <c r="N1349" s="3" t="s">
        <v>1413</v>
      </c>
      <c r="O1349" s="3"/>
      <c r="P1349" s="4">
        <v>42783</v>
      </c>
      <c r="Q1349" s="3" t="s">
        <v>27</v>
      </c>
      <c r="R1349" s="3" t="s">
        <v>28</v>
      </c>
      <c r="S1349" s="3" t="s">
        <v>29</v>
      </c>
      <c r="T1349" s="5">
        <v>3302.32</v>
      </c>
      <c r="U1349" s="5">
        <v>1423.96</v>
      </c>
      <c r="V1349" s="5">
        <v>1314.98</v>
      </c>
      <c r="W1349" s="3">
        <v>563.38</v>
      </c>
    </row>
    <row r="1350" spans="1:23" ht="60.75">
      <c r="A1350" s="3" t="s">
        <v>23</v>
      </c>
      <c r="B1350" s="3" t="s">
        <v>24</v>
      </c>
      <c r="C1350" s="3" t="s">
        <v>35</v>
      </c>
      <c r="D1350" s="3" t="s">
        <v>48</v>
      </c>
      <c r="E1350" s="3" t="s">
        <v>49</v>
      </c>
      <c r="F1350" s="3" t="s">
        <v>50</v>
      </c>
      <c r="G1350" s="3">
        <v>2016</v>
      </c>
      <c r="H1350" s="3" t="str">
        <f>CONCATENATE("64240460101")</f>
        <v>64240460101</v>
      </c>
      <c r="I1350" s="3" t="s">
        <v>25</v>
      </c>
      <c r="J1350" s="3" t="s">
        <v>26</v>
      </c>
      <c r="K1350" s="3" t="str">
        <f t="shared" si="44"/>
        <v/>
      </c>
      <c r="L1350" s="3" t="str">
        <f>CONCATENATE("11 11.2 4b")</f>
        <v>11 11.2 4b</v>
      </c>
      <c r="M1350" s="3" t="str">
        <f>CONCATENATE("RCCRND85M13L191V")</f>
        <v>RCCRND85M13L191V</v>
      </c>
      <c r="N1350" s="3" t="s">
        <v>1414</v>
      </c>
      <c r="O1350" s="3"/>
      <c r="P1350" s="4">
        <v>42783</v>
      </c>
      <c r="Q1350" s="3" t="s">
        <v>27</v>
      </c>
      <c r="R1350" s="3" t="s">
        <v>28</v>
      </c>
      <c r="S1350" s="3" t="s">
        <v>29</v>
      </c>
      <c r="T1350" s="5">
        <v>2369.85</v>
      </c>
      <c r="U1350" s="5">
        <v>1021.88</v>
      </c>
      <c r="V1350" s="3">
        <v>943.67</v>
      </c>
      <c r="W1350" s="3">
        <v>404.3</v>
      </c>
    </row>
    <row r="1351" spans="1:23" ht="60.75">
      <c r="A1351" s="3" t="s">
        <v>23</v>
      </c>
      <c r="B1351" s="3" t="s">
        <v>24</v>
      </c>
      <c r="C1351" s="3" t="s">
        <v>35</v>
      </c>
      <c r="D1351" s="3" t="s">
        <v>36</v>
      </c>
      <c r="E1351" s="3" t="s">
        <v>30</v>
      </c>
      <c r="F1351" s="3" t="s">
        <v>257</v>
      </c>
      <c r="G1351" s="3">
        <v>2016</v>
      </c>
      <c r="H1351" s="3" t="str">
        <f>CONCATENATE("64240850509")</f>
        <v>64240850509</v>
      </c>
      <c r="I1351" s="3" t="s">
        <v>25</v>
      </c>
      <c r="J1351" s="3" t="s">
        <v>26</v>
      </c>
      <c r="K1351" s="3" t="str">
        <f t="shared" si="44"/>
        <v/>
      </c>
      <c r="L1351" s="3" t="str">
        <f>CONCATENATE("11 11.1 4b")</f>
        <v>11 11.1 4b</v>
      </c>
      <c r="M1351" s="3" t="str">
        <f>CONCATENATE("VTISMN91C08C770O")</f>
        <v>VTISMN91C08C770O</v>
      </c>
      <c r="N1351" s="3" t="s">
        <v>1415</v>
      </c>
      <c r="O1351" s="3"/>
      <c r="P1351" s="4">
        <v>42783</v>
      </c>
      <c r="Q1351" s="3" t="s">
        <v>27</v>
      </c>
      <c r="R1351" s="3" t="s">
        <v>28</v>
      </c>
      <c r="S1351" s="3" t="s">
        <v>29</v>
      </c>
      <c r="T1351" s="5">
        <v>4774.8500000000004</v>
      </c>
      <c r="U1351" s="5">
        <v>2058.92</v>
      </c>
      <c r="V1351" s="5">
        <v>1901.35</v>
      </c>
      <c r="W1351" s="3">
        <v>814.58</v>
      </c>
    </row>
    <row r="1352" spans="1:23" ht="60.75">
      <c r="A1352" s="3" t="s">
        <v>23</v>
      </c>
      <c r="B1352" s="3" t="s">
        <v>24</v>
      </c>
      <c r="C1352" s="3" t="s">
        <v>35</v>
      </c>
      <c r="D1352" s="3" t="s">
        <v>43</v>
      </c>
      <c r="E1352" s="3" t="s">
        <v>30</v>
      </c>
      <c r="F1352" s="3" t="s">
        <v>76</v>
      </c>
      <c r="G1352" s="3">
        <v>2016</v>
      </c>
      <c r="H1352" s="3" t="str">
        <f>CONCATENATE("64210141111")</f>
        <v>64210141111</v>
      </c>
      <c r="I1352" s="3" t="s">
        <v>31</v>
      </c>
      <c r="J1352" s="3" t="s">
        <v>26</v>
      </c>
      <c r="K1352" s="3" t="str">
        <f t="shared" si="44"/>
        <v/>
      </c>
      <c r="L1352" s="3" t="str">
        <f>CONCATENATE("13 13.1 4a")</f>
        <v>13 13.1 4a</v>
      </c>
      <c r="M1352" s="3" t="str">
        <f>CONCATENATE("PNSJND40H63F641T")</f>
        <v>PNSJND40H63F641T</v>
      </c>
      <c r="N1352" s="3" t="s">
        <v>1416</v>
      </c>
      <c r="O1352" s="3"/>
      <c r="P1352" s="4">
        <v>42783</v>
      </c>
      <c r="Q1352" s="3" t="s">
        <v>27</v>
      </c>
      <c r="R1352" s="3" t="s">
        <v>28</v>
      </c>
      <c r="S1352" s="3" t="s">
        <v>29</v>
      </c>
      <c r="T1352" s="3">
        <v>571.34</v>
      </c>
      <c r="U1352" s="3">
        <v>246.36</v>
      </c>
      <c r="V1352" s="3">
        <v>227.51</v>
      </c>
      <c r="W1352" s="3">
        <v>97.47</v>
      </c>
    </row>
    <row r="1353" spans="1:23" ht="72.75">
      <c r="A1353" s="3" t="s">
        <v>23</v>
      </c>
      <c r="B1353" s="3" t="s">
        <v>24</v>
      </c>
      <c r="C1353" s="3" t="s">
        <v>35</v>
      </c>
      <c r="D1353" s="3" t="s">
        <v>43</v>
      </c>
      <c r="E1353" s="3" t="s">
        <v>30</v>
      </c>
      <c r="F1353" s="3" t="s">
        <v>131</v>
      </c>
      <c r="G1353" s="3">
        <v>2016</v>
      </c>
      <c r="H1353" s="3" t="str">
        <f>CONCATENATE("64240799730")</f>
        <v>64240799730</v>
      </c>
      <c r="I1353" s="3" t="s">
        <v>25</v>
      </c>
      <c r="J1353" s="3" t="s">
        <v>26</v>
      </c>
      <c r="K1353" s="3" t="str">
        <f t="shared" si="44"/>
        <v/>
      </c>
      <c r="L1353" s="3" t="str">
        <f>CONCATENATE("11 11.1 4b")</f>
        <v>11 11.1 4b</v>
      </c>
      <c r="M1353" s="3" t="str">
        <f>CONCATENATE("RSSRMN75B47D488M")</f>
        <v>RSSRMN75B47D488M</v>
      </c>
      <c r="N1353" s="3" t="s">
        <v>1417</v>
      </c>
      <c r="O1353" s="3"/>
      <c r="P1353" s="4">
        <v>42783</v>
      </c>
      <c r="Q1353" s="3" t="s">
        <v>27</v>
      </c>
      <c r="R1353" s="3" t="s">
        <v>28</v>
      </c>
      <c r="S1353" s="3" t="s">
        <v>29</v>
      </c>
      <c r="T1353" s="5">
        <v>5702.44</v>
      </c>
      <c r="U1353" s="5">
        <v>2458.89</v>
      </c>
      <c r="V1353" s="5">
        <v>2270.71</v>
      </c>
      <c r="W1353" s="3">
        <v>972.84</v>
      </c>
    </row>
    <row r="1354" spans="1:23" ht="72.75">
      <c r="A1354" s="3" t="s">
        <v>23</v>
      </c>
      <c r="B1354" s="3" t="s">
        <v>24</v>
      </c>
      <c r="C1354" s="3" t="s">
        <v>35</v>
      </c>
      <c r="D1354" s="3" t="s">
        <v>48</v>
      </c>
      <c r="E1354" s="3" t="s">
        <v>30</v>
      </c>
      <c r="F1354" s="3" t="s">
        <v>91</v>
      </c>
      <c r="G1354" s="3">
        <v>2016</v>
      </c>
      <c r="H1354" s="3" t="str">
        <f>CONCATENATE("64210499840")</f>
        <v>64210499840</v>
      </c>
      <c r="I1354" s="3" t="s">
        <v>25</v>
      </c>
      <c r="J1354" s="3" t="s">
        <v>26</v>
      </c>
      <c r="K1354" s="3" t="str">
        <f t="shared" si="44"/>
        <v/>
      </c>
      <c r="L1354" s="3" t="str">
        <f>CONCATENATE("13 13.1 4a")</f>
        <v>13 13.1 4a</v>
      </c>
      <c r="M1354" s="3" t="str">
        <f>CONCATENATE("NGLTRZ75H01B474R")</f>
        <v>NGLTRZ75H01B474R</v>
      </c>
      <c r="N1354" s="3" t="s">
        <v>1418</v>
      </c>
      <c r="O1354" s="3"/>
      <c r="P1354" s="4">
        <v>42783</v>
      </c>
      <c r="Q1354" s="3" t="s">
        <v>27</v>
      </c>
      <c r="R1354" s="3" t="s">
        <v>28</v>
      </c>
      <c r="S1354" s="3" t="s">
        <v>29</v>
      </c>
      <c r="T1354" s="5">
        <v>2223.23</v>
      </c>
      <c r="U1354" s="3">
        <v>958.66</v>
      </c>
      <c r="V1354" s="3">
        <v>885.29</v>
      </c>
      <c r="W1354" s="3">
        <v>379.28</v>
      </c>
    </row>
    <row r="1355" spans="1:23" ht="60.75">
      <c r="A1355" s="3" t="s">
        <v>23</v>
      </c>
      <c r="B1355" s="3" t="s">
        <v>24</v>
      </c>
      <c r="C1355" s="3" t="s">
        <v>35</v>
      </c>
      <c r="D1355" s="3" t="s">
        <v>36</v>
      </c>
      <c r="E1355" s="3" t="s">
        <v>30</v>
      </c>
      <c r="F1355" s="3" t="s">
        <v>53</v>
      </c>
      <c r="G1355" s="3">
        <v>2016</v>
      </c>
      <c r="H1355" s="3" t="str">
        <f>CONCATENATE("64240598983")</f>
        <v>64240598983</v>
      </c>
      <c r="I1355" s="3" t="s">
        <v>25</v>
      </c>
      <c r="J1355" s="3" t="s">
        <v>26</v>
      </c>
      <c r="K1355" s="3" t="str">
        <f t="shared" si="44"/>
        <v/>
      </c>
      <c r="L1355" s="3" t="str">
        <f>CONCATENATE("11 11.2 4b")</f>
        <v>11 11.2 4b</v>
      </c>
      <c r="M1355" s="3" t="str">
        <f>CONCATENATE("MRCLGN53M69E207K")</f>
        <v>MRCLGN53M69E207K</v>
      </c>
      <c r="N1355" s="3" t="s">
        <v>1419</v>
      </c>
      <c r="O1355" s="3"/>
      <c r="P1355" s="4">
        <v>42783</v>
      </c>
      <c r="Q1355" s="3" t="s">
        <v>27</v>
      </c>
      <c r="R1355" s="3" t="s">
        <v>28</v>
      </c>
      <c r="S1355" s="3" t="s">
        <v>29</v>
      </c>
      <c r="T1355" s="5">
        <v>6319.91</v>
      </c>
      <c r="U1355" s="5">
        <v>2725.15</v>
      </c>
      <c r="V1355" s="5">
        <v>2516.59</v>
      </c>
      <c r="W1355" s="5">
        <v>1078.17</v>
      </c>
    </row>
    <row r="1356" spans="1:23" ht="60.75">
      <c r="A1356" s="3" t="s">
        <v>23</v>
      </c>
      <c r="B1356" s="3" t="s">
        <v>24</v>
      </c>
      <c r="C1356" s="3" t="s">
        <v>35</v>
      </c>
      <c r="D1356" s="3" t="s">
        <v>43</v>
      </c>
      <c r="E1356" s="3" t="s">
        <v>34</v>
      </c>
      <c r="F1356" s="3" t="s">
        <v>146</v>
      </c>
      <c r="G1356" s="3">
        <v>2016</v>
      </c>
      <c r="H1356" s="3" t="str">
        <f>CONCATENATE("64240317681")</f>
        <v>64240317681</v>
      </c>
      <c r="I1356" s="3" t="s">
        <v>25</v>
      </c>
      <c r="J1356" s="3" t="s">
        <v>26</v>
      </c>
      <c r="K1356" s="3" t="str">
        <f t="shared" si="44"/>
        <v/>
      </c>
      <c r="L1356" s="3" t="str">
        <f>CONCATENATE("11 11.2 4b")</f>
        <v>11 11.2 4b</v>
      </c>
      <c r="M1356" s="3" t="str">
        <f>CONCATENATE("MZZGNN46R03F310T")</f>
        <v>MZZGNN46R03F310T</v>
      </c>
      <c r="N1356" s="3" t="s">
        <v>1420</v>
      </c>
      <c r="O1356" s="3"/>
      <c r="P1356" s="4">
        <v>42783</v>
      </c>
      <c r="Q1356" s="3" t="s">
        <v>27</v>
      </c>
      <c r="R1356" s="3" t="s">
        <v>28</v>
      </c>
      <c r="S1356" s="3" t="s">
        <v>29</v>
      </c>
      <c r="T1356" s="5">
        <v>5270.09</v>
      </c>
      <c r="U1356" s="5">
        <v>2272.46</v>
      </c>
      <c r="V1356" s="5">
        <v>2098.5500000000002</v>
      </c>
      <c r="W1356" s="3">
        <v>899.08</v>
      </c>
    </row>
    <row r="1357" spans="1:23" ht="60.75">
      <c r="A1357" s="3" t="s">
        <v>23</v>
      </c>
      <c r="B1357" s="3" t="s">
        <v>24</v>
      </c>
      <c r="C1357" s="3" t="s">
        <v>35</v>
      </c>
      <c r="D1357" s="3" t="s">
        <v>39</v>
      </c>
      <c r="E1357" s="3" t="s">
        <v>30</v>
      </c>
      <c r="F1357" s="3" t="s">
        <v>131</v>
      </c>
      <c r="G1357" s="3">
        <v>2016</v>
      </c>
      <c r="H1357" s="3" t="str">
        <f>CONCATENATE("64240496204")</f>
        <v>64240496204</v>
      </c>
      <c r="I1357" s="3" t="s">
        <v>25</v>
      </c>
      <c r="J1357" s="3" t="s">
        <v>26</v>
      </c>
      <c r="K1357" s="3" t="str">
        <f t="shared" si="44"/>
        <v/>
      </c>
      <c r="L1357" s="3" t="str">
        <f>CONCATENATE("11 11.1 4b")</f>
        <v>11 11.1 4b</v>
      </c>
      <c r="M1357" s="3" t="str">
        <f>CONCATENATE("BLBLRA74S50I608H")</f>
        <v>BLBLRA74S50I608H</v>
      </c>
      <c r="N1357" s="3" t="s">
        <v>1421</v>
      </c>
      <c r="O1357" s="3"/>
      <c r="P1357" s="4">
        <v>42783</v>
      </c>
      <c r="Q1357" s="3" t="s">
        <v>27</v>
      </c>
      <c r="R1357" s="3" t="s">
        <v>28</v>
      </c>
      <c r="S1357" s="3" t="s">
        <v>29</v>
      </c>
      <c r="T1357" s="3">
        <v>731.81</v>
      </c>
      <c r="U1357" s="3">
        <v>315.56</v>
      </c>
      <c r="V1357" s="3">
        <v>291.41000000000003</v>
      </c>
      <c r="W1357" s="3">
        <v>124.84</v>
      </c>
    </row>
    <row r="1358" spans="1:23" ht="60.75">
      <c r="A1358" s="3" t="s">
        <v>23</v>
      </c>
      <c r="B1358" s="3" t="s">
        <v>24</v>
      </c>
      <c r="C1358" s="3" t="s">
        <v>35</v>
      </c>
      <c r="D1358" s="3" t="s">
        <v>39</v>
      </c>
      <c r="E1358" s="3" t="s">
        <v>34</v>
      </c>
      <c r="F1358" s="3" t="s">
        <v>170</v>
      </c>
      <c r="G1358" s="3">
        <v>2016</v>
      </c>
      <c r="H1358" s="3" t="str">
        <f>CONCATENATE("64240613998")</f>
        <v>64240613998</v>
      </c>
      <c r="I1358" s="3" t="s">
        <v>25</v>
      </c>
      <c r="J1358" s="3" t="s">
        <v>26</v>
      </c>
      <c r="K1358" s="3" t="str">
        <f t="shared" si="44"/>
        <v/>
      </c>
      <c r="L1358" s="3" t="str">
        <f>CONCATENATE("11 11.1 4b")</f>
        <v>11 11.1 4b</v>
      </c>
      <c r="M1358" s="3" t="str">
        <f>CONCATENATE("PLLDRD89B17I608Q")</f>
        <v>PLLDRD89B17I608Q</v>
      </c>
      <c r="N1358" s="3" t="s">
        <v>1422</v>
      </c>
      <c r="O1358" s="3"/>
      <c r="P1358" s="4">
        <v>42783</v>
      </c>
      <c r="Q1358" s="3" t="s">
        <v>27</v>
      </c>
      <c r="R1358" s="3" t="s">
        <v>28</v>
      </c>
      <c r="S1358" s="3" t="s">
        <v>29</v>
      </c>
      <c r="T1358" s="3">
        <v>521.52</v>
      </c>
      <c r="U1358" s="3">
        <v>224.88</v>
      </c>
      <c r="V1358" s="3">
        <v>207.67</v>
      </c>
      <c r="W1358" s="3">
        <v>88.97</v>
      </c>
    </row>
    <row r="1359" spans="1:23" ht="36.75">
      <c r="A1359" s="3" t="s">
        <v>23</v>
      </c>
      <c r="B1359" s="3" t="s">
        <v>24</v>
      </c>
      <c r="C1359" s="3" t="s">
        <v>35</v>
      </c>
      <c r="D1359" s="3" t="s">
        <v>43</v>
      </c>
      <c r="E1359" s="3" t="s">
        <v>49</v>
      </c>
      <c r="F1359" s="3" t="s">
        <v>276</v>
      </c>
      <c r="G1359" s="3">
        <v>2016</v>
      </c>
      <c r="H1359" s="3" t="str">
        <f>CONCATENATE("64240205795")</f>
        <v>64240205795</v>
      </c>
      <c r="I1359" s="3" t="s">
        <v>25</v>
      </c>
      <c r="J1359" s="3" t="s">
        <v>26</v>
      </c>
      <c r="K1359" s="3" t="str">
        <f t="shared" si="44"/>
        <v/>
      </c>
      <c r="L1359" s="3" t="str">
        <f>CONCATENATE("11 11.1 4b")</f>
        <v>11 11.1 4b</v>
      </c>
      <c r="M1359" s="3" t="str">
        <f>CONCATENATE("02596540415")</f>
        <v>02596540415</v>
      </c>
      <c r="N1359" s="3" t="s">
        <v>1423</v>
      </c>
      <c r="O1359" s="3"/>
      <c r="P1359" s="4">
        <v>42783</v>
      </c>
      <c r="Q1359" s="3" t="s">
        <v>27</v>
      </c>
      <c r="R1359" s="3" t="s">
        <v>28</v>
      </c>
      <c r="S1359" s="3" t="s">
        <v>29</v>
      </c>
      <c r="T1359" s="5">
        <v>4176.55</v>
      </c>
      <c r="U1359" s="5">
        <v>1800.93</v>
      </c>
      <c r="V1359" s="5">
        <v>1663.1</v>
      </c>
      <c r="W1359" s="3">
        <v>712.52</v>
      </c>
    </row>
    <row r="1360" spans="1:23" ht="72.75">
      <c r="A1360" s="3" t="s">
        <v>23</v>
      </c>
      <c r="B1360" s="3" t="s">
        <v>24</v>
      </c>
      <c r="C1360" s="3" t="s">
        <v>35</v>
      </c>
      <c r="D1360" s="3" t="s">
        <v>39</v>
      </c>
      <c r="E1360" s="3" t="s">
        <v>34</v>
      </c>
      <c r="F1360" s="3" t="s">
        <v>170</v>
      </c>
      <c r="G1360" s="3">
        <v>2016</v>
      </c>
      <c r="H1360" s="3" t="str">
        <f>CONCATENATE("64240655551")</f>
        <v>64240655551</v>
      </c>
      <c r="I1360" s="3" t="s">
        <v>25</v>
      </c>
      <c r="J1360" s="3" t="s">
        <v>26</v>
      </c>
      <c r="K1360" s="3" t="str">
        <f t="shared" si="44"/>
        <v/>
      </c>
      <c r="L1360" s="3" t="str">
        <f>CONCATENATE("11 11.2 4b")</f>
        <v>11 11.2 4b</v>
      </c>
      <c r="M1360" s="3" t="str">
        <f>CONCATENATE("GGLMLA35A67A944H")</f>
        <v>GGLMLA35A67A944H</v>
      </c>
      <c r="N1360" s="3" t="s">
        <v>1424</v>
      </c>
      <c r="O1360" s="3"/>
      <c r="P1360" s="4">
        <v>42783</v>
      </c>
      <c r="Q1360" s="3" t="s">
        <v>27</v>
      </c>
      <c r="R1360" s="3" t="s">
        <v>28</v>
      </c>
      <c r="S1360" s="3" t="s">
        <v>29</v>
      </c>
      <c r="T1360" s="5">
        <v>2050.64</v>
      </c>
      <c r="U1360" s="3">
        <v>884.24</v>
      </c>
      <c r="V1360" s="3">
        <v>816.56</v>
      </c>
      <c r="W1360" s="3">
        <v>349.84</v>
      </c>
    </row>
    <row r="1361" spans="1:23" ht="72.75">
      <c r="A1361" s="3" t="s">
        <v>23</v>
      </c>
      <c r="B1361" s="3" t="s">
        <v>24</v>
      </c>
      <c r="C1361" s="3" t="s">
        <v>35</v>
      </c>
      <c r="D1361" s="3" t="s">
        <v>39</v>
      </c>
      <c r="E1361" s="3" t="s">
        <v>30</v>
      </c>
      <c r="F1361" s="3" t="s">
        <v>84</v>
      </c>
      <c r="G1361" s="3">
        <v>2016</v>
      </c>
      <c r="H1361" s="3" t="str">
        <f>CONCATENATE("64210962011")</f>
        <v>64210962011</v>
      </c>
      <c r="I1361" s="3" t="s">
        <v>25</v>
      </c>
      <c r="J1361" s="3" t="s">
        <v>26</v>
      </c>
      <c r="K1361" s="3" t="str">
        <f t="shared" si="44"/>
        <v/>
      </c>
      <c r="L1361" s="3" t="str">
        <f>CONCATENATE("13 13.1 4a")</f>
        <v>13 13.1 4a</v>
      </c>
      <c r="M1361" s="3" t="str">
        <f>CONCATENATE("PDCMTR50A63D451U")</f>
        <v>PDCMTR50A63D451U</v>
      </c>
      <c r="N1361" s="3" t="s">
        <v>1425</v>
      </c>
      <c r="O1361" s="3"/>
      <c r="P1361" s="4">
        <v>42783</v>
      </c>
      <c r="Q1361" s="3" t="s">
        <v>27</v>
      </c>
      <c r="R1361" s="3" t="s">
        <v>28</v>
      </c>
      <c r="S1361" s="3" t="s">
        <v>29</v>
      </c>
      <c r="T1361" s="5">
        <v>1485.22</v>
      </c>
      <c r="U1361" s="3">
        <v>640.42999999999995</v>
      </c>
      <c r="V1361" s="3">
        <v>591.41</v>
      </c>
      <c r="W1361" s="3">
        <v>253.38</v>
      </c>
    </row>
    <row r="1362" spans="1:23" ht="60.75">
      <c r="A1362" s="3" t="s">
        <v>23</v>
      </c>
      <c r="B1362" s="3" t="s">
        <v>24</v>
      </c>
      <c r="C1362" s="3" t="s">
        <v>35</v>
      </c>
      <c r="D1362" s="3" t="s">
        <v>43</v>
      </c>
      <c r="E1362" s="3" t="s">
        <v>32</v>
      </c>
      <c r="F1362" s="3" t="s">
        <v>78</v>
      </c>
      <c r="G1362" s="3">
        <v>2016</v>
      </c>
      <c r="H1362" s="3" t="str">
        <f>CONCATENATE("64240366894")</f>
        <v>64240366894</v>
      </c>
      <c r="I1362" s="3" t="s">
        <v>25</v>
      </c>
      <c r="J1362" s="3" t="s">
        <v>26</v>
      </c>
      <c r="K1362" s="3" t="str">
        <f t="shared" si="44"/>
        <v/>
      </c>
      <c r="L1362" s="3" t="str">
        <f>CONCATENATE("11 11.2 4b")</f>
        <v>11 11.2 4b</v>
      </c>
      <c r="M1362" s="3" t="str">
        <f>CONCATENATE("GNNRFO55D11L500N")</f>
        <v>GNNRFO55D11L500N</v>
      </c>
      <c r="N1362" s="3" t="s">
        <v>1426</v>
      </c>
      <c r="O1362" s="3"/>
      <c r="P1362" s="4">
        <v>42783</v>
      </c>
      <c r="Q1362" s="3" t="s">
        <v>27</v>
      </c>
      <c r="R1362" s="3" t="s">
        <v>28</v>
      </c>
      <c r="S1362" s="3" t="s">
        <v>29</v>
      </c>
      <c r="T1362" s="5">
        <v>2967.76</v>
      </c>
      <c r="U1362" s="5">
        <v>1279.7</v>
      </c>
      <c r="V1362" s="5">
        <v>1181.76</v>
      </c>
      <c r="W1362" s="3">
        <v>506.3</v>
      </c>
    </row>
    <row r="1363" spans="1:23" ht="60.75">
      <c r="A1363" s="3" t="s">
        <v>23</v>
      </c>
      <c r="B1363" s="3" t="s">
        <v>24</v>
      </c>
      <c r="C1363" s="3" t="s">
        <v>35</v>
      </c>
      <c r="D1363" s="3" t="s">
        <v>36</v>
      </c>
      <c r="E1363" s="3" t="s">
        <v>30</v>
      </c>
      <c r="F1363" s="3" t="s">
        <v>37</v>
      </c>
      <c r="G1363" s="3">
        <v>2016</v>
      </c>
      <c r="H1363" s="3" t="str">
        <f>CONCATENATE("64240506614")</f>
        <v>64240506614</v>
      </c>
      <c r="I1363" s="3" t="s">
        <v>25</v>
      </c>
      <c r="J1363" s="3" t="s">
        <v>26</v>
      </c>
      <c r="K1363" s="3" t="str">
        <f t="shared" si="44"/>
        <v/>
      </c>
      <c r="L1363" s="3" t="str">
        <f>CONCATENATE("10 10.1 4b")</f>
        <v>10 10.1 4b</v>
      </c>
      <c r="M1363" s="3" t="str">
        <f>CONCATENATE("TMPRRT84C06D542L")</f>
        <v>TMPRRT84C06D542L</v>
      </c>
      <c r="N1363" s="3" t="s">
        <v>1427</v>
      </c>
      <c r="O1363" s="3"/>
      <c r="P1363" s="4">
        <v>42783</v>
      </c>
      <c r="Q1363" s="3" t="s">
        <v>27</v>
      </c>
      <c r="R1363" s="3" t="s">
        <v>28</v>
      </c>
      <c r="S1363" s="3" t="s">
        <v>29</v>
      </c>
      <c r="T1363" s="5">
        <v>1062.3399999999999</v>
      </c>
      <c r="U1363" s="3">
        <v>458.08</v>
      </c>
      <c r="V1363" s="3">
        <v>423.02</v>
      </c>
      <c r="W1363" s="3">
        <v>181.24</v>
      </c>
    </row>
    <row r="1364" spans="1:23" ht="60.75">
      <c r="A1364" s="3" t="s">
        <v>23</v>
      </c>
      <c r="B1364" s="3" t="s">
        <v>24</v>
      </c>
      <c r="C1364" s="3" t="s">
        <v>35</v>
      </c>
      <c r="D1364" s="3" t="s">
        <v>48</v>
      </c>
      <c r="E1364" s="3" t="s">
        <v>33</v>
      </c>
      <c r="F1364" s="3" t="s">
        <v>212</v>
      </c>
      <c r="G1364" s="3">
        <v>2016</v>
      </c>
      <c r="H1364" s="3" t="str">
        <f>CONCATENATE("64240765616")</f>
        <v>64240765616</v>
      </c>
      <c r="I1364" s="3" t="s">
        <v>25</v>
      </c>
      <c r="J1364" s="3" t="s">
        <v>26</v>
      </c>
      <c r="K1364" s="3" t="str">
        <f t="shared" si="44"/>
        <v/>
      </c>
      <c r="L1364" s="3" t="str">
        <f>CONCATENATE("11 11.2 4b")</f>
        <v>11 11.2 4b</v>
      </c>
      <c r="M1364" s="3" t="str">
        <f>CONCATENATE("FRNLBN48L46I156M")</f>
        <v>FRNLBN48L46I156M</v>
      </c>
      <c r="N1364" s="3" t="s">
        <v>1428</v>
      </c>
      <c r="O1364" s="3"/>
      <c r="P1364" s="4">
        <v>42783</v>
      </c>
      <c r="Q1364" s="3" t="s">
        <v>27</v>
      </c>
      <c r="R1364" s="3" t="s">
        <v>28</v>
      </c>
      <c r="S1364" s="3" t="s">
        <v>29</v>
      </c>
      <c r="T1364" s="5">
        <v>2852.98</v>
      </c>
      <c r="U1364" s="5">
        <v>1230.2</v>
      </c>
      <c r="V1364" s="5">
        <v>1136.06</v>
      </c>
      <c r="W1364" s="3">
        <v>486.72</v>
      </c>
    </row>
    <row r="1365" spans="1:23" ht="60.75">
      <c r="A1365" s="3" t="s">
        <v>23</v>
      </c>
      <c r="B1365" s="3" t="s">
        <v>24</v>
      </c>
      <c r="C1365" s="3" t="s">
        <v>35</v>
      </c>
      <c r="D1365" s="3" t="s">
        <v>48</v>
      </c>
      <c r="E1365" s="3" t="s">
        <v>49</v>
      </c>
      <c r="F1365" s="3" t="s">
        <v>50</v>
      </c>
      <c r="G1365" s="3">
        <v>2016</v>
      </c>
      <c r="H1365" s="3" t="str">
        <f>CONCATENATE("64240544797")</f>
        <v>64240544797</v>
      </c>
      <c r="I1365" s="3" t="s">
        <v>25</v>
      </c>
      <c r="J1365" s="3" t="s">
        <v>26</v>
      </c>
      <c r="K1365" s="3" t="str">
        <f t="shared" si="44"/>
        <v/>
      </c>
      <c r="L1365" s="3" t="str">
        <f>CONCATENATE("11 11.2 4b")</f>
        <v>11 11.2 4b</v>
      </c>
      <c r="M1365" s="3" t="str">
        <f>CONCATENATE("GNNVTR88E41H501E")</f>
        <v>GNNVTR88E41H501E</v>
      </c>
      <c r="N1365" s="3" t="s">
        <v>1429</v>
      </c>
      <c r="O1365" s="3"/>
      <c r="P1365" s="4">
        <v>42783</v>
      </c>
      <c r="Q1365" s="3" t="s">
        <v>27</v>
      </c>
      <c r="R1365" s="3" t="s">
        <v>28</v>
      </c>
      <c r="S1365" s="3" t="s">
        <v>29</v>
      </c>
      <c r="T1365" s="5">
        <v>15280.81</v>
      </c>
      <c r="U1365" s="5">
        <v>6589.09</v>
      </c>
      <c r="V1365" s="5">
        <v>6084.82</v>
      </c>
      <c r="W1365" s="5">
        <v>2606.9</v>
      </c>
    </row>
    <row r="1366" spans="1:23" ht="36.75">
      <c r="A1366" s="3" t="s">
        <v>23</v>
      </c>
      <c r="B1366" s="3" t="s">
        <v>24</v>
      </c>
      <c r="C1366" s="3" t="s">
        <v>35</v>
      </c>
      <c r="D1366" s="3" t="s">
        <v>48</v>
      </c>
      <c r="E1366" s="3" t="s">
        <v>30</v>
      </c>
      <c r="F1366" s="3" t="s">
        <v>157</v>
      </c>
      <c r="G1366" s="3">
        <v>2016</v>
      </c>
      <c r="H1366" s="3" t="str">
        <f>CONCATENATE("64240737904")</f>
        <v>64240737904</v>
      </c>
      <c r="I1366" s="3" t="s">
        <v>25</v>
      </c>
      <c r="J1366" s="3" t="s">
        <v>26</v>
      </c>
      <c r="K1366" s="3" t="str">
        <f t="shared" si="44"/>
        <v/>
      </c>
      <c r="L1366" s="3" t="str">
        <f>CONCATENATE("11 11.1 4b")</f>
        <v>11 11.1 4b</v>
      </c>
      <c r="M1366" s="3" t="str">
        <f>CONCATENATE("01914540438")</f>
        <v>01914540438</v>
      </c>
      <c r="N1366" s="3" t="s">
        <v>1430</v>
      </c>
      <c r="O1366" s="3"/>
      <c r="P1366" s="4">
        <v>42783</v>
      </c>
      <c r="Q1366" s="3" t="s">
        <v>27</v>
      </c>
      <c r="R1366" s="3" t="s">
        <v>28</v>
      </c>
      <c r="S1366" s="3" t="s">
        <v>29</v>
      </c>
      <c r="T1366" s="5">
        <v>6628.39</v>
      </c>
      <c r="U1366" s="5">
        <v>2858.16</v>
      </c>
      <c r="V1366" s="5">
        <v>2639.42</v>
      </c>
      <c r="W1366" s="5">
        <v>1130.81</v>
      </c>
    </row>
    <row r="1367" spans="1:23" ht="72.75">
      <c r="A1367" s="3" t="s">
        <v>23</v>
      </c>
      <c r="B1367" s="3" t="s">
        <v>24</v>
      </c>
      <c r="C1367" s="3" t="s">
        <v>35</v>
      </c>
      <c r="D1367" s="3" t="s">
        <v>48</v>
      </c>
      <c r="E1367" s="3" t="s">
        <v>49</v>
      </c>
      <c r="F1367" s="3" t="s">
        <v>80</v>
      </c>
      <c r="G1367" s="3">
        <v>2016</v>
      </c>
      <c r="H1367" s="3" t="str">
        <f>CONCATENATE("64210656365")</f>
        <v>64210656365</v>
      </c>
      <c r="I1367" s="3" t="s">
        <v>25</v>
      </c>
      <c r="J1367" s="3" t="s">
        <v>26</v>
      </c>
      <c r="K1367" s="3" t="str">
        <f t="shared" si="44"/>
        <v/>
      </c>
      <c r="L1367" s="3" t="str">
        <f>CONCATENATE("13 13.1 4a")</f>
        <v>13 13.1 4a</v>
      </c>
      <c r="M1367" s="3" t="str">
        <f>CONCATENATE("MGGFRC81M58B474M")</f>
        <v>MGGFRC81M58B474M</v>
      </c>
      <c r="N1367" s="3" t="s">
        <v>1431</v>
      </c>
      <c r="O1367" s="3"/>
      <c r="P1367" s="4">
        <v>42783</v>
      </c>
      <c r="Q1367" s="3" t="s">
        <v>27</v>
      </c>
      <c r="R1367" s="3" t="s">
        <v>28</v>
      </c>
      <c r="S1367" s="3" t="s">
        <v>29</v>
      </c>
      <c r="T1367" s="5">
        <v>2781.38</v>
      </c>
      <c r="U1367" s="5">
        <v>1199.33</v>
      </c>
      <c r="V1367" s="5">
        <v>1107.55</v>
      </c>
      <c r="W1367" s="3">
        <v>474.5</v>
      </c>
    </row>
    <row r="1368" spans="1:23" ht="72.75">
      <c r="A1368" s="3" t="s">
        <v>23</v>
      </c>
      <c r="B1368" s="3" t="s">
        <v>24</v>
      </c>
      <c r="C1368" s="3" t="s">
        <v>35</v>
      </c>
      <c r="D1368" s="3" t="s">
        <v>43</v>
      </c>
      <c r="E1368" s="3" t="s">
        <v>30</v>
      </c>
      <c r="F1368" s="3" t="s">
        <v>76</v>
      </c>
      <c r="G1368" s="3">
        <v>2016</v>
      </c>
      <c r="H1368" s="3" t="str">
        <f>CONCATENATE("64240041323")</f>
        <v>64240041323</v>
      </c>
      <c r="I1368" s="3" t="s">
        <v>25</v>
      </c>
      <c r="J1368" s="3" t="s">
        <v>26</v>
      </c>
      <c r="K1368" s="3" t="str">
        <f t="shared" si="44"/>
        <v/>
      </c>
      <c r="L1368" s="3" t="str">
        <f>CONCATENATE("11 11.2 4b")</f>
        <v>11 11.2 4b</v>
      </c>
      <c r="M1368" s="3" t="str">
        <f>CONCATENATE("MNNMRC44D26L500F")</f>
        <v>MNNMRC44D26L500F</v>
      </c>
      <c r="N1368" s="3" t="s">
        <v>177</v>
      </c>
      <c r="O1368" s="3"/>
      <c r="P1368" s="4">
        <v>42783</v>
      </c>
      <c r="Q1368" s="3" t="s">
        <v>27</v>
      </c>
      <c r="R1368" s="3" t="s">
        <v>28</v>
      </c>
      <c r="S1368" s="3" t="s">
        <v>29</v>
      </c>
      <c r="T1368" s="5">
        <v>5947.84</v>
      </c>
      <c r="U1368" s="5">
        <v>2564.71</v>
      </c>
      <c r="V1368" s="5">
        <v>2368.4299999999998</v>
      </c>
      <c r="W1368" s="5">
        <v>1014.7</v>
      </c>
    </row>
    <row r="1369" spans="1:23" ht="60.75">
      <c r="A1369" s="3" t="s">
        <v>23</v>
      </c>
      <c r="B1369" s="3" t="s">
        <v>24</v>
      </c>
      <c r="C1369" s="3" t="s">
        <v>35</v>
      </c>
      <c r="D1369" s="3" t="s">
        <v>48</v>
      </c>
      <c r="E1369" s="3" t="s">
        <v>59</v>
      </c>
      <c r="F1369" s="3" t="s">
        <v>240</v>
      </c>
      <c r="G1369" s="3">
        <v>2016</v>
      </c>
      <c r="H1369" s="3" t="str">
        <f>CONCATENATE("64240616322")</f>
        <v>64240616322</v>
      </c>
      <c r="I1369" s="3" t="s">
        <v>31</v>
      </c>
      <c r="J1369" s="3" t="s">
        <v>26</v>
      </c>
      <c r="K1369" s="3" t="str">
        <f t="shared" si="44"/>
        <v/>
      </c>
      <c r="L1369" s="3" t="str">
        <f>CONCATENATE("11 11.2 4b")</f>
        <v>11 11.2 4b</v>
      </c>
      <c r="M1369" s="3" t="str">
        <f>CONCATENATE("PPGJRU82S30I156F")</f>
        <v>PPGJRU82S30I156F</v>
      </c>
      <c r="N1369" s="3" t="s">
        <v>1432</v>
      </c>
      <c r="O1369" s="3"/>
      <c r="P1369" s="4">
        <v>42783</v>
      </c>
      <c r="Q1369" s="3" t="s">
        <v>27</v>
      </c>
      <c r="R1369" s="3" t="s">
        <v>28</v>
      </c>
      <c r="S1369" s="3" t="s">
        <v>29</v>
      </c>
      <c r="T1369" s="5">
        <v>16037.05</v>
      </c>
      <c r="U1369" s="5">
        <v>6915.18</v>
      </c>
      <c r="V1369" s="5">
        <v>6385.95</v>
      </c>
      <c r="W1369" s="5">
        <v>2735.92</v>
      </c>
    </row>
    <row r="1370" spans="1:23" ht="60.75">
      <c r="A1370" s="3" t="s">
        <v>23</v>
      </c>
      <c r="B1370" s="3" t="s">
        <v>24</v>
      </c>
      <c r="C1370" s="3" t="s">
        <v>35</v>
      </c>
      <c r="D1370" s="3" t="s">
        <v>43</v>
      </c>
      <c r="E1370" s="3" t="s">
        <v>30</v>
      </c>
      <c r="F1370" s="3" t="s">
        <v>113</v>
      </c>
      <c r="G1370" s="3">
        <v>2016</v>
      </c>
      <c r="H1370" s="3" t="str">
        <f>CONCATENATE("64211008350")</f>
        <v>64211008350</v>
      </c>
      <c r="I1370" s="3" t="s">
        <v>25</v>
      </c>
      <c r="J1370" s="3" t="s">
        <v>26</v>
      </c>
      <c r="K1370" s="3" t="str">
        <f t="shared" si="44"/>
        <v/>
      </c>
      <c r="L1370" s="3" t="str">
        <f>CONCATENATE("13 13.1 4a")</f>
        <v>13 13.1 4a</v>
      </c>
      <c r="M1370" s="3" t="str">
        <f>CONCATENATE("MRTLCU71T11C745Y")</f>
        <v>MRTLCU71T11C745Y</v>
      </c>
      <c r="N1370" s="3" t="s">
        <v>735</v>
      </c>
      <c r="O1370" s="3"/>
      <c r="P1370" s="4">
        <v>42783</v>
      </c>
      <c r="Q1370" s="3" t="s">
        <v>27</v>
      </c>
      <c r="R1370" s="3" t="s">
        <v>28</v>
      </c>
      <c r="S1370" s="3" t="s">
        <v>29</v>
      </c>
      <c r="T1370" s="5">
        <v>3867.72</v>
      </c>
      <c r="U1370" s="5">
        <v>1667.76</v>
      </c>
      <c r="V1370" s="5">
        <v>1540.13</v>
      </c>
      <c r="W1370" s="3">
        <v>659.83</v>
      </c>
    </row>
    <row r="1371" spans="1:23" ht="72.75">
      <c r="A1371" s="3" t="s">
        <v>23</v>
      </c>
      <c r="B1371" s="3" t="s">
        <v>24</v>
      </c>
      <c r="C1371" s="3" t="s">
        <v>35</v>
      </c>
      <c r="D1371" s="3" t="s">
        <v>36</v>
      </c>
      <c r="E1371" s="3" t="s">
        <v>42</v>
      </c>
      <c r="F1371" s="3" t="s">
        <v>42</v>
      </c>
      <c r="G1371" s="3">
        <v>2016</v>
      </c>
      <c r="H1371" s="3" t="str">
        <f>CONCATENATE("64240188090")</f>
        <v>64240188090</v>
      </c>
      <c r="I1371" s="3" t="s">
        <v>25</v>
      </c>
      <c r="J1371" s="3" t="s">
        <v>26</v>
      </c>
      <c r="K1371" s="3" t="str">
        <f t="shared" si="44"/>
        <v/>
      </c>
      <c r="L1371" s="3" t="str">
        <f>CONCATENATE("11 11.2 4b")</f>
        <v>11 11.2 4b</v>
      </c>
      <c r="M1371" s="3" t="str">
        <f>CONCATENATE("MRNCMN56H55G005G")</f>
        <v>MRNCMN56H55G005G</v>
      </c>
      <c r="N1371" s="3" t="s">
        <v>1433</v>
      </c>
      <c r="O1371" s="3"/>
      <c r="P1371" s="4">
        <v>42783</v>
      </c>
      <c r="Q1371" s="3" t="s">
        <v>27</v>
      </c>
      <c r="R1371" s="3" t="s">
        <v>28</v>
      </c>
      <c r="S1371" s="3" t="s">
        <v>29</v>
      </c>
      <c r="T1371" s="5">
        <v>4045.15</v>
      </c>
      <c r="U1371" s="5">
        <v>1744.27</v>
      </c>
      <c r="V1371" s="5">
        <v>1610.78</v>
      </c>
      <c r="W1371" s="3">
        <v>690.1</v>
      </c>
    </row>
    <row r="1372" spans="1:23" ht="60.75">
      <c r="A1372" s="3" t="s">
        <v>23</v>
      </c>
      <c r="B1372" s="3" t="s">
        <v>24</v>
      </c>
      <c r="C1372" s="3" t="s">
        <v>35</v>
      </c>
      <c r="D1372" s="3" t="s">
        <v>43</v>
      </c>
      <c r="E1372" s="3" t="s">
        <v>30</v>
      </c>
      <c r="F1372" s="3" t="s">
        <v>76</v>
      </c>
      <c r="G1372" s="3">
        <v>2016</v>
      </c>
      <c r="H1372" s="3" t="str">
        <f>CONCATENATE("64210086324")</f>
        <v>64210086324</v>
      </c>
      <c r="I1372" s="3" t="s">
        <v>25</v>
      </c>
      <c r="J1372" s="3" t="s">
        <v>26</v>
      </c>
      <c r="K1372" s="3" t="str">
        <f t="shared" si="44"/>
        <v/>
      </c>
      <c r="L1372" s="3" t="str">
        <f>CONCATENATE("13 13.1 4a")</f>
        <v>13 13.1 4a</v>
      </c>
      <c r="M1372" s="3" t="str">
        <f>CONCATENATE("BRTRCL68C30I459J")</f>
        <v>BRTRCL68C30I459J</v>
      </c>
      <c r="N1372" s="3" t="s">
        <v>1434</v>
      </c>
      <c r="O1372" s="3"/>
      <c r="P1372" s="4">
        <v>42783</v>
      </c>
      <c r="Q1372" s="3" t="s">
        <v>27</v>
      </c>
      <c r="R1372" s="3" t="s">
        <v>28</v>
      </c>
      <c r="S1372" s="3" t="s">
        <v>29</v>
      </c>
      <c r="T1372" s="3">
        <v>896.22</v>
      </c>
      <c r="U1372" s="3">
        <v>386.45</v>
      </c>
      <c r="V1372" s="3">
        <v>356.87</v>
      </c>
      <c r="W1372" s="3">
        <v>152.9</v>
      </c>
    </row>
    <row r="1373" spans="1:23" ht="60.75">
      <c r="A1373" s="3" t="s">
        <v>23</v>
      </c>
      <c r="B1373" s="3" t="s">
        <v>24</v>
      </c>
      <c r="C1373" s="3" t="s">
        <v>35</v>
      </c>
      <c r="D1373" s="3" t="s">
        <v>48</v>
      </c>
      <c r="E1373" s="3" t="s">
        <v>49</v>
      </c>
      <c r="F1373" s="3" t="s">
        <v>779</v>
      </c>
      <c r="G1373" s="3">
        <v>2016</v>
      </c>
      <c r="H1373" s="3" t="str">
        <f>CONCATENATE("64210711962")</f>
        <v>64210711962</v>
      </c>
      <c r="I1373" s="3" t="s">
        <v>25</v>
      </c>
      <c r="J1373" s="3" t="s">
        <v>26</v>
      </c>
      <c r="K1373" s="3" t="str">
        <f t="shared" si="44"/>
        <v/>
      </c>
      <c r="L1373" s="3" t="str">
        <f>CONCATENATE("13 13.1 4a")</f>
        <v>13 13.1 4a</v>
      </c>
      <c r="M1373" s="3" t="str">
        <f>CONCATENATE("LNADVD61B12D564J")</f>
        <v>LNADVD61B12D564J</v>
      </c>
      <c r="N1373" s="3" t="s">
        <v>1435</v>
      </c>
      <c r="O1373" s="3"/>
      <c r="P1373" s="4">
        <v>42783</v>
      </c>
      <c r="Q1373" s="3" t="s">
        <v>27</v>
      </c>
      <c r="R1373" s="3" t="s">
        <v>28</v>
      </c>
      <c r="S1373" s="3" t="s">
        <v>29</v>
      </c>
      <c r="T1373" s="5">
        <v>1156.07</v>
      </c>
      <c r="U1373" s="3">
        <v>498.5</v>
      </c>
      <c r="V1373" s="3">
        <v>460.35</v>
      </c>
      <c r="W1373" s="3">
        <v>197.22</v>
      </c>
    </row>
    <row r="1374" spans="1:23" ht="60.75">
      <c r="A1374" s="3" t="s">
        <v>23</v>
      </c>
      <c r="B1374" s="3" t="s">
        <v>24</v>
      </c>
      <c r="C1374" s="3" t="s">
        <v>35</v>
      </c>
      <c r="D1374" s="3" t="s">
        <v>48</v>
      </c>
      <c r="E1374" s="3" t="s">
        <v>30</v>
      </c>
      <c r="F1374" s="3" t="s">
        <v>57</v>
      </c>
      <c r="G1374" s="3">
        <v>2016</v>
      </c>
      <c r="H1374" s="3" t="str">
        <f>CONCATENATE("64240893558")</f>
        <v>64240893558</v>
      </c>
      <c r="I1374" s="3" t="s">
        <v>25</v>
      </c>
      <c r="J1374" s="3" t="s">
        <v>26</v>
      </c>
      <c r="K1374" s="3" t="str">
        <f t="shared" si="44"/>
        <v/>
      </c>
      <c r="L1374" s="3" t="str">
        <f>CONCATENATE("11 11.1 4b")</f>
        <v>11 11.1 4b</v>
      </c>
      <c r="M1374" s="3" t="str">
        <f>CONCATENATE("RSLRFL54R22B398J")</f>
        <v>RSLRFL54R22B398J</v>
      </c>
      <c r="N1374" s="3" t="s">
        <v>1436</v>
      </c>
      <c r="O1374" s="3"/>
      <c r="P1374" s="4">
        <v>42783</v>
      </c>
      <c r="Q1374" s="3" t="s">
        <v>27</v>
      </c>
      <c r="R1374" s="3" t="s">
        <v>28</v>
      </c>
      <c r="S1374" s="3" t="s">
        <v>29</v>
      </c>
      <c r="T1374" s="5">
        <v>2327.9299999999998</v>
      </c>
      <c r="U1374" s="5">
        <v>1003.8</v>
      </c>
      <c r="V1374" s="3">
        <v>926.98</v>
      </c>
      <c r="W1374" s="3">
        <v>397.15</v>
      </c>
    </row>
    <row r="1375" spans="1:23" ht="60.75">
      <c r="A1375" s="3" t="s">
        <v>23</v>
      </c>
      <c r="B1375" s="3" t="s">
        <v>24</v>
      </c>
      <c r="C1375" s="3" t="s">
        <v>35</v>
      </c>
      <c r="D1375" s="3" t="s">
        <v>48</v>
      </c>
      <c r="E1375" s="3" t="s">
        <v>30</v>
      </c>
      <c r="F1375" s="3" t="s">
        <v>157</v>
      </c>
      <c r="G1375" s="3">
        <v>2016</v>
      </c>
      <c r="H1375" s="3" t="str">
        <f>CONCATENATE("64210917627")</f>
        <v>64210917627</v>
      </c>
      <c r="I1375" s="3" t="s">
        <v>25</v>
      </c>
      <c r="J1375" s="3" t="s">
        <v>26</v>
      </c>
      <c r="K1375" s="3" t="str">
        <f t="shared" si="44"/>
        <v/>
      </c>
      <c r="L1375" s="3" t="str">
        <f>CONCATENATE("13 13.1 4a")</f>
        <v>13 13.1 4a</v>
      </c>
      <c r="M1375" s="3" t="str">
        <f>CONCATENATE("RCCGNN39E16F793D")</f>
        <v>RCCGNN39E16F793D</v>
      </c>
      <c r="N1375" s="3" t="s">
        <v>1437</v>
      </c>
      <c r="O1375" s="3"/>
      <c r="P1375" s="4">
        <v>42783</v>
      </c>
      <c r="Q1375" s="3" t="s">
        <v>27</v>
      </c>
      <c r="R1375" s="3" t="s">
        <v>28</v>
      </c>
      <c r="S1375" s="3" t="s">
        <v>29</v>
      </c>
      <c r="T1375" s="3">
        <v>827.85</v>
      </c>
      <c r="U1375" s="3">
        <v>356.97</v>
      </c>
      <c r="V1375" s="3">
        <v>329.65</v>
      </c>
      <c r="W1375" s="3">
        <v>141.22999999999999</v>
      </c>
    </row>
    <row r="1376" spans="1:23" ht="36.75">
      <c r="A1376" s="3" t="s">
        <v>23</v>
      </c>
      <c r="B1376" s="3" t="s">
        <v>24</v>
      </c>
      <c r="C1376" s="3" t="s">
        <v>35</v>
      </c>
      <c r="D1376" s="3" t="s">
        <v>39</v>
      </c>
      <c r="E1376" s="3" t="s">
        <v>32</v>
      </c>
      <c r="F1376" s="3" t="s">
        <v>117</v>
      </c>
      <c r="G1376" s="3">
        <v>2016</v>
      </c>
      <c r="H1376" s="3" t="str">
        <f>CONCATENATE("64240542379")</f>
        <v>64240542379</v>
      </c>
      <c r="I1376" s="3" t="s">
        <v>25</v>
      </c>
      <c r="J1376" s="3" t="s">
        <v>26</v>
      </c>
      <c r="K1376" s="3" t="str">
        <f t="shared" si="44"/>
        <v/>
      </c>
      <c r="L1376" s="3" t="str">
        <f>CONCATENATE("11 11.1 4b")</f>
        <v>11 11.1 4b</v>
      </c>
      <c r="M1376" s="3" t="str">
        <f>CONCATENATE("02690230426")</f>
        <v>02690230426</v>
      </c>
      <c r="N1376" s="3" t="s">
        <v>1438</v>
      </c>
      <c r="O1376" s="3"/>
      <c r="P1376" s="4">
        <v>42783</v>
      </c>
      <c r="Q1376" s="3" t="s">
        <v>27</v>
      </c>
      <c r="R1376" s="3" t="s">
        <v>28</v>
      </c>
      <c r="S1376" s="3" t="s">
        <v>29</v>
      </c>
      <c r="T1376" s="5">
        <v>11251.28</v>
      </c>
      <c r="U1376" s="5">
        <v>4851.55</v>
      </c>
      <c r="V1376" s="5">
        <v>4480.26</v>
      </c>
      <c r="W1376" s="5">
        <v>1919.47</v>
      </c>
    </row>
    <row r="1377" spans="1:23" ht="60.75">
      <c r="A1377" s="3" t="s">
        <v>23</v>
      </c>
      <c r="B1377" s="3" t="s">
        <v>24</v>
      </c>
      <c r="C1377" s="3" t="s">
        <v>35</v>
      </c>
      <c r="D1377" s="3" t="s">
        <v>43</v>
      </c>
      <c r="E1377" s="3" t="s">
        <v>30</v>
      </c>
      <c r="F1377" s="3" t="s">
        <v>199</v>
      </c>
      <c r="G1377" s="3">
        <v>2016</v>
      </c>
      <c r="H1377" s="3" t="str">
        <f>CONCATENATE("64240721551")</f>
        <v>64240721551</v>
      </c>
      <c r="I1377" s="3" t="s">
        <v>25</v>
      </c>
      <c r="J1377" s="3" t="s">
        <v>26</v>
      </c>
      <c r="K1377" s="3" t="str">
        <f t="shared" si="44"/>
        <v/>
      </c>
      <c r="L1377" s="3" t="str">
        <f>CONCATENATE("11 11.2 4b")</f>
        <v>11 11.2 4b</v>
      </c>
      <c r="M1377" s="3" t="str">
        <f>CONCATENATE("FLPMHL55A18G479T")</f>
        <v>FLPMHL55A18G479T</v>
      </c>
      <c r="N1377" s="3" t="s">
        <v>1439</v>
      </c>
      <c r="O1377" s="3"/>
      <c r="P1377" s="4">
        <v>42783</v>
      </c>
      <c r="Q1377" s="3" t="s">
        <v>27</v>
      </c>
      <c r="R1377" s="3" t="s">
        <v>28</v>
      </c>
      <c r="S1377" s="3" t="s">
        <v>29</v>
      </c>
      <c r="T1377" s="5">
        <v>3167.14</v>
      </c>
      <c r="U1377" s="5">
        <v>1365.67</v>
      </c>
      <c r="V1377" s="5">
        <v>1261.1600000000001</v>
      </c>
      <c r="W1377" s="3">
        <v>540.30999999999995</v>
      </c>
    </row>
    <row r="1378" spans="1:23" ht="60.75">
      <c r="A1378" s="3" t="s">
        <v>23</v>
      </c>
      <c r="B1378" s="3" t="s">
        <v>24</v>
      </c>
      <c r="C1378" s="3" t="s">
        <v>35</v>
      </c>
      <c r="D1378" s="3" t="s">
        <v>39</v>
      </c>
      <c r="E1378" s="3" t="s">
        <v>30</v>
      </c>
      <c r="F1378" s="3" t="s">
        <v>533</v>
      </c>
      <c r="G1378" s="3">
        <v>2016</v>
      </c>
      <c r="H1378" s="3" t="str">
        <f>CONCATENATE("64240247557")</f>
        <v>64240247557</v>
      </c>
      <c r="I1378" s="3" t="s">
        <v>25</v>
      </c>
      <c r="J1378" s="3" t="s">
        <v>26</v>
      </c>
      <c r="K1378" s="3" t="str">
        <f t="shared" si="44"/>
        <v/>
      </c>
      <c r="L1378" s="3" t="str">
        <f>CONCATENATE("11 11.1 4b")</f>
        <v>11 11.1 4b</v>
      </c>
      <c r="M1378" s="3" t="str">
        <f>CONCATENATE("CRBDNN53D02A366K")</f>
        <v>CRBDNN53D02A366K</v>
      </c>
      <c r="N1378" s="3" t="s">
        <v>1440</v>
      </c>
      <c r="O1378" s="3"/>
      <c r="P1378" s="4">
        <v>42783</v>
      </c>
      <c r="Q1378" s="3" t="s">
        <v>27</v>
      </c>
      <c r="R1378" s="3" t="s">
        <v>28</v>
      </c>
      <c r="S1378" s="3" t="s">
        <v>29</v>
      </c>
      <c r="T1378" s="5">
        <v>2089.56</v>
      </c>
      <c r="U1378" s="3">
        <v>901.02</v>
      </c>
      <c r="V1378" s="3">
        <v>832.06</v>
      </c>
      <c r="W1378" s="3">
        <v>356.48</v>
      </c>
    </row>
    <row r="1379" spans="1:23" ht="60.75">
      <c r="A1379" s="3" t="s">
        <v>23</v>
      </c>
      <c r="B1379" s="3" t="s">
        <v>24</v>
      </c>
      <c r="C1379" s="3" t="s">
        <v>35</v>
      </c>
      <c r="D1379" s="3" t="s">
        <v>43</v>
      </c>
      <c r="E1379" s="3" t="s">
        <v>30</v>
      </c>
      <c r="F1379" s="3" t="s">
        <v>124</v>
      </c>
      <c r="G1379" s="3">
        <v>2016</v>
      </c>
      <c r="H1379" s="3" t="str">
        <f>CONCATENATE("64210936742")</f>
        <v>64210936742</v>
      </c>
      <c r="I1379" s="3" t="s">
        <v>25</v>
      </c>
      <c r="J1379" s="3" t="s">
        <v>26</v>
      </c>
      <c r="K1379" s="3" t="str">
        <f t="shared" si="44"/>
        <v/>
      </c>
      <c r="L1379" s="3" t="str">
        <f>CONCATENATE("13 13.1 4a")</f>
        <v>13 13.1 4a</v>
      </c>
      <c r="M1379" s="3" t="str">
        <f>CONCATENATE("CLNMRA37T16I287I")</f>
        <v>CLNMRA37T16I287I</v>
      </c>
      <c r="N1379" s="3" t="s">
        <v>1441</v>
      </c>
      <c r="O1379" s="3"/>
      <c r="P1379" s="4">
        <v>42783</v>
      </c>
      <c r="Q1379" s="3" t="s">
        <v>27</v>
      </c>
      <c r="R1379" s="3" t="s">
        <v>28</v>
      </c>
      <c r="S1379" s="3" t="s">
        <v>29</v>
      </c>
      <c r="T1379" s="5">
        <v>1362.91</v>
      </c>
      <c r="U1379" s="3">
        <v>587.69000000000005</v>
      </c>
      <c r="V1379" s="3">
        <v>542.71</v>
      </c>
      <c r="W1379" s="3">
        <v>232.51</v>
      </c>
    </row>
    <row r="1380" spans="1:23" ht="36.75">
      <c r="A1380" s="3" t="s">
        <v>23</v>
      </c>
      <c r="B1380" s="3" t="s">
        <v>24</v>
      </c>
      <c r="C1380" s="3" t="s">
        <v>35</v>
      </c>
      <c r="D1380" s="3" t="s">
        <v>43</v>
      </c>
      <c r="E1380" s="3" t="s">
        <v>30</v>
      </c>
      <c r="F1380" s="3" t="s">
        <v>104</v>
      </c>
      <c r="G1380" s="3">
        <v>2016</v>
      </c>
      <c r="H1380" s="3" t="str">
        <f>CONCATENATE("64210529828")</f>
        <v>64210529828</v>
      </c>
      <c r="I1380" s="3" t="s">
        <v>25</v>
      </c>
      <c r="J1380" s="3" t="s">
        <v>26</v>
      </c>
      <c r="K1380" s="3" t="str">
        <f t="shared" si="44"/>
        <v/>
      </c>
      <c r="L1380" s="3" t="str">
        <f>CONCATENATE("13 13.1 4a")</f>
        <v>13 13.1 4a</v>
      </c>
      <c r="M1380" s="3" t="str">
        <f>CONCATENATE("02119480412")</f>
        <v>02119480412</v>
      </c>
      <c r="N1380" s="3" t="s">
        <v>1442</v>
      </c>
      <c r="O1380" s="3"/>
      <c r="P1380" s="4">
        <v>42783</v>
      </c>
      <c r="Q1380" s="3" t="s">
        <v>27</v>
      </c>
      <c r="R1380" s="3" t="s">
        <v>28</v>
      </c>
      <c r="S1380" s="3" t="s">
        <v>29</v>
      </c>
      <c r="T1380" s="5">
        <v>5238</v>
      </c>
      <c r="U1380" s="5">
        <v>2258.63</v>
      </c>
      <c r="V1380" s="5">
        <v>2085.77</v>
      </c>
      <c r="W1380" s="3">
        <v>893.6</v>
      </c>
    </row>
    <row r="1381" spans="1:23" ht="36.75">
      <c r="A1381" s="3" t="s">
        <v>23</v>
      </c>
      <c r="B1381" s="3" t="s">
        <v>24</v>
      </c>
      <c r="C1381" s="3" t="s">
        <v>35</v>
      </c>
      <c r="D1381" s="3" t="s">
        <v>48</v>
      </c>
      <c r="E1381" s="3" t="s">
        <v>49</v>
      </c>
      <c r="F1381" s="3" t="s">
        <v>50</v>
      </c>
      <c r="G1381" s="3">
        <v>2016</v>
      </c>
      <c r="H1381" s="3" t="str">
        <f>CONCATENATE("64240882502")</f>
        <v>64240882502</v>
      </c>
      <c r="I1381" s="3" t="s">
        <v>25</v>
      </c>
      <c r="J1381" s="3" t="s">
        <v>26</v>
      </c>
      <c r="K1381" s="3" t="str">
        <f t="shared" si="44"/>
        <v/>
      </c>
      <c r="L1381" s="3" t="str">
        <f>CONCATENATE("11 11.1 4b")</f>
        <v>11 11.1 4b</v>
      </c>
      <c r="M1381" s="3" t="str">
        <f>CONCATENATE("01914070436")</f>
        <v>01914070436</v>
      </c>
      <c r="N1381" s="3" t="s">
        <v>1443</v>
      </c>
      <c r="O1381" s="3"/>
      <c r="P1381" s="4">
        <v>42783</v>
      </c>
      <c r="Q1381" s="3" t="s">
        <v>27</v>
      </c>
      <c r="R1381" s="3" t="s">
        <v>28</v>
      </c>
      <c r="S1381" s="3" t="s">
        <v>29</v>
      </c>
      <c r="T1381" s="5">
        <v>3235.77</v>
      </c>
      <c r="U1381" s="5">
        <v>1395.26</v>
      </c>
      <c r="V1381" s="5">
        <v>1288.48</v>
      </c>
      <c r="W1381" s="3">
        <v>552.03</v>
      </c>
    </row>
    <row r="1382" spans="1:23" ht="36.75">
      <c r="A1382" s="3" t="s">
        <v>23</v>
      </c>
      <c r="B1382" s="3" t="s">
        <v>24</v>
      </c>
      <c r="C1382" s="3" t="s">
        <v>35</v>
      </c>
      <c r="D1382" s="3" t="s">
        <v>36</v>
      </c>
      <c r="E1382" s="3" t="s">
        <v>30</v>
      </c>
      <c r="F1382" s="3" t="s">
        <v>37</v>
      </c>
      <c r="G1382" s="3">
        <v>2016</v>
      </c>
      <c r="H1382" s="3" t="str">
        <f>CONCATENATE("64240336814")</f>
        <v>64240336814</v>
      </c>
      <c r="I1382" s="3" t="s">
        <v>25</v>
      </c>
      <c r="J1382" s="3" t="s">
        <v>26</v>
      </c>
      <c r="K1382" s="3" t="str">
        <f t="shared" si="44"/>
        <v/>
      </c>
      <c r="L1382" s="3" t="str">
        <f>CONCATENATE("11 11.1 4b")</f>
        <v>11 11.1 4b</v>
      </c>
      <c r="M1382" s="3" t="str">
        <f>CONCATENATE("00826940447")</f>
        <v>00826940447</v>
      </c>
      <c r="N1382" s="3" t="s">
        <v>1444</v>
      </c>
      <c r="O1382" s="3"/>
      <c r="P1382" s="4">
        <v>42783</v>
      </c>
      <c r="Q1382" s="3" t="s">
        <v>27</v>
      </c>
      <c r="R1382" s="3" t="s">
        <v>28</v>
      </c>
      <c r="S1382" s="3" t="s">
        <v>29</v>
      </c>
      <c r="T1382" s="5">
        <v>1636.34</v>
      </c>
      <c r="U1382" s="3">
        <v>705.59</v>
      </c>
      <c r="V1382" s="3">
        <v>651.59</v>
      </c>
      <c r="W1382" s="3">
        <v>279.16000000000003</v>
      </c>
    </row>
    <row r="1383" spans="1:23" ht="60.75">
      <c r="A1383" s="3" t="s">
        <v>23</v>
      </c>
      <c r="B1383" s="3" t="s">
        <v>24</v>
      </c>
      <c r="C1383" s="3" t="s">
        <v>35</v>
      </c>
      <c r="D1383" s="3" t="s">
        <v>48</v>
      </c>
      <c r="E1383" s="3" t="s">
        <v>49</v>
      </c>
      <c r="F1383" s="3" t="s">
        <v>50</v>
      </c>
      <c r="G1383" s="3">
        <v>2016</v>
      </c>
      <c r="H1383" s="3" t="str">
        <f>CONCATENATE("64240323994")</f>
        <v>64240323994</v>
      </c>
      <c r="I1383" s="3" t="s">
        <v>25</v>
      </c>
      <c r="J1383" s="3" t="s">
        <v>26</v>
      </c>
      <c r="K1383" s="3" t="str">
        <f t="shared" si="44"/>
        <v/>
      </c>
      <c r="L1383" s="3" t="str">
        <f>CONCATENATE("11 11.2 4b")</f>
        <v>11 11.2 4b</v>
      </c>
      <c r="M1383" s="3" t="str">
        <f>CONCATENATE("VNNGDU43E01E783D")</f>
        <v>VNNGDU43E01E783D</v>
      </c>
      <c r="N1383" s="3" t="s">
        <v>1445</v>
      </c>
      <c r="O1383" s="3"/>
      <c r="P1383" s="4">
        <v>42783</v>
      </c>
      <c r="Q1383" s="3" t="s">
        <v>27</v>
      </c>
      <c r="R1383" s="3" t="s">
        <v>28</v>
      </c>
      <c r="S1383" s="3" t="s">
        <v>29</v>
      </c>
      <c r="T1383" s="5">
        <v>1218.1600000000001</v>
      </c>
      <c r="U1383" s="3">
        <v>525.27</v>
      </c>
      <c r="V1383" s="3">
        <v>485.07</v>
      </c>
      <c r="W1383" s="3">
        <v>207.82</v>
      </c>
    </row>
    <row r="1384" spans="1:23" ht="60.75">
      <c r="A1384" s="3" t="s">
        <v>23</v>
      </c>
      <c r="B1384" s="3" t="s">
        <v>24</v>
      </c>
      <c r="C1384" s="3" t="s">
        <v>35</v>
      </c>
      <c r="D1384" s="3" t="s">
        <v>48</v>
      </c>
      <c r="E1384" s="3" t="s">
        <v>49</v>
      </c>
      <c r="F1384" s="3" t="s">
        <v>50</v>
      </c>
      <c r="G1384" s="3">
        <v>2016</v>
      </c>
      <c r="H1384" s="3" t="str">
        <f>CONCATENATE("64211118183")</f>
        <v>64211118183</v>
      </c>
      <c r="I1384" s="3" t="s">
        <v>25</v>
      </c>
      <c r="J1384" s="3" t="s">
        <v>26</v>
      </c>
      <c r="K1384" s="3" t="str">
        <f t="shared" si="44"/>
        <v/>
      </c>
      <c r="L1384" s="3" t="str">
        <f>CONCATENATE("13 13.1 4a")</f>
        <v>13 13.1 4a</v>
      </c>
      <c r="M1384" s="3" t="str">
        <f>CONCATENATE("VSSPLA64H21E783D")</f>
        <v>VSSPLA64H21E783D</v>
      </c>
      <c r="N1384" s="3" t="s">
        <v>455</v>
      </c>
      <c r="O1384" s="3"/>
      <c r="P1384" s="4">
        <v>42783</v>
      </c>
      <c r="Q1384" s="3" t="s">
        <v>27</v>
      </c>
      <c r="R1384" s="3" t="s">
        <v>28</v>
      </c>
      <c r="S1384" s="3" t="s">
        <v>29</v>
      </c>
      <c r="T1384" s="5">
        <v>2102.14</v>
      </c>
      <c r="U1384" s="3">
        <v>906.44</v>
      </c>
      <c r="V1384" s="3">
        <v>837.07</v>
      </c>
      <c r="W1384" s="3">
        <v>358.63</v>
      </c>
    </row>
    <row r="1385" spans="1:23" ht="60.75">
      <c r="A1385" s="3" t="s">
        <v>23</v>
      </c>
      <c r="B1385" s="3" t="s">
        <v>24</v>
      </c>
      <c r="C1385" s="3" t="s">
        <v>35</v>
      </c>
      <c r="D1385" s="3" t="s">
        <v>43</v>
      </c>
      <c r="E1385" s="3" t="s">
        <v>30</v>
      </c>
      <c r="F1385" s="3" t="s">
        <v>131</v>
      </c>
      <c r="G1385" s="3">
        <v>2016</v>
      </c>
      <c r="H1385" s="3" t="str">
        <f>CONCATENATE("64240882833")</f>
        <v>64240882833</v>
      </c>
      <c r="I1385" s="3" t="s">
        <v>25</v>
      </c>
      <c r="J1385" s="3" t="s">
        <v>26</v>
      </c>
      <c r="K1385" s="3" t="str">
        <f t="shared" si="44"/>
        <v/>
      </c>
      <c r="L1385" s="3" t="str">
        <f>CONCATENATE("11 11.2 4b")</f>
        <v>11 11.2 4b</v>
      </c>
      <c r="M1385" s="3" t="str">
        <f>CONCATENATE("RFFJCB96T25L500S")</f>
        <v>RFFJCB96T25L500S</v>
      </c>
      <c r="N1385" s="3" t="s">
        <v>425</v>
      </c>
      <c r="O1385" s="3"/>
      <c r="P1385" s="4">
        <v>42783</v>
      </c>
      <c r="Q1385" s="3" t="s">
        <v>27</v>
      </c>
      <c r="R1385" s="3" t="s">
        <v>28</v>
      </c>
      <c r="S1385" s="3" t="s">
        <v>29</v>
      </c>
      <c r="T1385" s="5">
        <v>7457.1</v>
      </c>
      <c r="U1385" s="5">
        <v>3215.5</v>
      </c>
      <c r="V1385" s="5">
        <v>2969.42</v>
      </c>
      <c r="W1385" s="5">
        <v>1272.18</v>
      </c>
    </row>
    <row r="1386" spans="1:23" ht="60.75">
      <c r="A1386" s="3" t="s">
        <v>23</v>
      </c>
      <c r="B1386" s="3" t="s">
        <v>24</v>
      </c>
      <c r="C1386" s="3" t="s">
        <v>35</v>
      </c>
      <c r="D1386" s="3" t="s">
        <v>39</v>
      </c>
      <c r="E1386" s="3" t="s">
        <v>32</v>
      </c>
      <c r="F1386" s="3" t="s">
        <v>117</v>
      </c>
      <c r="G1386" s="3">
        <v>2016</v>
      </c>
      <c r="H1386" s="3" t="str">
        <f>CONCATENATE("64240485868")</f>
        <v>64240485868</v>
      </c>
      <c r="I1386" s="3" t="s">
        <v>25</v>
      </c>
      <c r="J1386" s="3" t="s">
        <v>26</v>
      </c>
      <c r="K1386" s="3" t="str">
        <f t="shared" si="44"/>
        <v/>
      </c>
      <c r="L1386" s="3" t="str">
        <f>CONCATENATE("11 11.2 4b")</f>
        <v>11 11.2 4b</v>
      </c>
      <c r="M1386" s="3" t="str">
        <f>CONCATENATE("BDTLSN70M28I608V")</f>
        <v>BDTLSN70M28I608V</v>
      </c>
      <c r="N1386" s="3" t="s">
        <v>1446</v>
      </c>
      <c r="O1386" s="3"/>
      <c r="P1386" s="4">
        <v>42783</v>
      </c>
      <c r="Q1386" s="3" t="s">
        <v>27</v>
      </c>
      <c r="R1386" s="3" t="s">
        <v>28</v>
      </c>
      <c r="S1386" s="3" t="s">
        <v>29</v>
      </c>
      <c r="T1386" s="5">
        <v>1432.85</v>
      </c>
      <c r="U1386" s="3">
        <v>617.84</v>
      </c>
      <c r="V1386" s="3">
        <v>570.55999999999995</v>
      </c>
      <c r="W1386" s="3">
        <v>244.45</v>
      </c>
    </row>
    <row r="1387" spans="1:23" ht="36.75">
      <c r="A1387" s="3" t="s">
        <v>23</v>
      </c>
      <c r="B1387" s="3" t="s">
        <v>24</v>
      </c>
      <c r="C1387" s="3" t="s">
        <v>35</v>
      </c>
      <c r="D1387" s="3" t="s">
        <v>36</v>
      </c>
      <c r="E1387" s="3" t="s">
        <v>33</v>
      </c>
      <c r="F1387" s="3" t="s">
        <v>89</v>
      </c>
      <c r="G1387" s="3">
        <v>2016</v>
      </c>
      <c r="H1387" s="3" t="str">
        <f>CONCATENATE("64210654006")</f>
        <v>64210654006</v>
      </c>
      <c r="I1387" s="3" t="s">
        <v>25</v>
      </c>
      <c r="J1387" s="3" t="s">
        <v>26</v>
      </c>
      <c r="K1387" s="3" t="str">
        <f t="shared" si="44"/>
        <v/>
      </c>
      <c r="L1387" s="3" t="str">
        <f>CONCATENATE("13 13.1 4a")</f>
        <v>13 13.1 4a</v>
      </c>
      <c r="M1387" s="3" t="str">
        <f>CONCATENATE("02182100442")</f>
        <v>02182100442</v>
      </c>
      <c r="N1387" s="3" t="s">
        <v>1447</v>
      </c>
      <c r="O1387" s="3"/>
      <c r="P1387" s="4">
        <v>42783</v>
      </c>
      <c r="Q1387" s="3" t="s">
        <v>27</v>
      </c>
      <c r="R1387" s="3" t="s">
        <v>28</v>
      </c>
      <c r="S1387" s="3" t="s">
        <v>29</v>
      </c>
      <c r="T1387" s="3">
        <v>547.88</v>
      </c>
      <c r="U1387" s="3">
        <v>236.25</v>
      </c>
      <c r="V1387" s="3">
        <v>218.17</v>
      </c>
      <c r="W1387" s="3">
        <v>93.46</v>
      </c>
    </row>
    <row r="1388" spans="1:23" ht="60.75">
      <c r="A1388" s="3" t="s">
        <v>23</v>
      </c>
      <c r="B1388" s="3" t="s">
        <v>24</v>
      </c>
      <c r="C1388" s="3" t="s">
        <v>35</v>
      </c>
      <c r="D1388" s="3" t="s">
        <v>43</v>
      </c>
      <c r="E1388" s="3" t="s">
        <v>100</v>
      </c>
      <c r="F1388" s="3" t="s">
        <v>101</v>
      </c>
      <c r="G1388" s="3">
        <v>2016</v>
      </c>
      <c r="H1388" s="3" t="str">
        <f>CONCATENATE("64240706503")</f>
        <v>64240706503</v>
      </c>
      <c r="I1388" s="3" t="s">
        <v>25</v>
      </c>
      <c r="J1388" s="3" t="s">
        <v>26</v>
      </c>
      <c r="K1388" s="3" t="str">
        <f t="shared" si="44"/>
        <v/>
      </c>
      <c r="L1388" s="3" t="str">
        <f>CONCATENATE("11 11.2 4b")</f>
        <v>11 11.2 4b</v>
      </c>
      <c r="M1388" s="3" t="str">
        <f>CONCATENATE("RNGRCR80D28G453T")</f>
        <v>RNGRCR80D28G453T</v>
      </c>
      <c r="N1388" s="3" t="s">
        <v>1448</v>
      </c>
      <c r="O1388" s="3"/>
      <c r="P1388" s="4">
        <v>42783</v>
      </c>
      <c r="Q1388" s="3" t="s">
        <v>27</v>
      </c>
      <c r="R1388" s="3" t="s">
        <v>28</v>
      </c>
      <c r="S1388" s="3" t="s">
        <v>29</v>
      </c>
      <c r="T1388" s="5">
        <v>2602.4</v>
      </c>
      <c r="U1388" s="5">
        <v>1122.1500000000001</v>
      </c>
      <c r="V1388" s="5">
        <v>1036.28</v>
      </c>
      <c r="W1388" s="3">
        <v>443.97</v>
      </c>
    </row>
    <row r="1389" spans="1:23" ht="60.75">
      <c r="A1389" s="3" t="s">
        <v>23</v>
      </c>
      <c r="B1389" s="3" t="s">
        <v>24</v>
      </c>
      <c r="C1389" s="3" t="s">
        <v>35</v>
      </c>
      <c r="D1389" s="3" t="s">
        <v>43</v>
      </c>
      <c r="E1389" s="3" t="s">
        <v>30</v>
      </c>
      <c r="F1389" s="3" t="s">
        <v>124</v>
      </c>
      <c r="G1389" s="3">
        <v>2016</v>
      </c>
      <c r="H1389" s="3" t="str">
        <f>CONCATENATE("64211072281")</f>
        <v>64211072281</v>
      </c>
      <c r="I1389" s="3" t="s">
        <v>25</v>
      </c>
      <c r="J1389" s="3" t="s">
        <v>26</v>
      </c>
      <c r="K1389" s="3" t="str">
        <f t="shared" si="44"/>
        <v/>
      </c>
      <c r="L1389" s="3" t="str">
        <f>CONCATENATE("13 13.1 4a")</f>
        <v>13 13.1 4a</v>
      </c>
      <c r="M1389" s="3" t="str">
        <f>CONCATENATE("PZZGPP56R29F135Q")</f>
        <v>PZZGPP56R29F135Q</v>
      </c>
      <c r="N1389" s="3" t="s">
        <v>1449</v>
      </c>
      <c r="O1389" s="3"/>
      <c r="P1389" s="4">
        <v>42783</v>
      </c>
      <c r="Q1389" s="3" t="s">
        <v>27</v>
      </c>
      <c r="R1389" s="3" t="s">
        <v>28</v>
      </c>
      <c r="S1389" s="3" t="s">
        <v>29</v>
      </c>
      <c r="T1389" s="5">
        <v>1659.16</v>
      </c>
      <c r="U1389" s="3">
        <v>715.43</v>
      </c>
      <c r="V1389" s="3">
        <v>660.68</v>
      </c>
      <c r="W1389" s="3">
        <v>283.05</v>
      </c>
    </row>
    <row r="1390" spans="1:23" ht="60.75">
      <c r="A1390" s="3" t="s">
        <v>23</v>
      </c>
      <c r="B1390" s="3" t="s">
        <v>24</v>
      </c>
      <c r="C1390" s="3" t="s">
        <v>35</v>
      </c>
      <c r="D1390" s="3" t="s">
        <v>43</v>
      </c>
      <c r="E1390" s="3" t="s">
        <v>30</v>
      </c>
      <c r="F1390" s="3" t="s">
        <v>131</v>
      </c>
      <c r="G1390" s="3">
        <v>2016</v>
      </c>
      <c r="H1390" s="3" t="str">
        <f>CONCATENATE("64240262655")</f>
        <v>64240262655</v>
      </c>
      <c r="I1390" s="3" t="s">
        <v>25</v>
      </c>
      <c r="J1390" s="3" t="s">
        <v>26</v>
      </c>
      <c r="K1390" s="3" t="str">
        <f t="shared" ref="K1390:K1453" si="45">CONCATENATE("")</f>
        <v/>
      </c>
      <c r="L1390" s="3" t="str">
        <f>CONCATENATE("11 11.2 4b")</f>
        <v>11 11.2 4b</v>
      </c>
      <c r="M1390" s="3" t="str">
        <f>CONCATENATE("TRRLVI29S18D488X")</f>
        <v>TRRLVI29S18D488X</v>
      </c>
      <c r="N1390" s="3" t="s">
        <v>1450</v>
      </c>
      <c r="O1390" s="3"/>
      <c r="P1390" s="4">
        <v>42783</v>
      </c>
      <c r="Q1390" s="3" t="s">
        <v>27</v>
      </c>
      <c r="R1390" s="3" t="s">
        <v>28</v>
      </c>
      <c r="S1390" s="3" t="s">
        <v>29</v>
      </c>
      <c r="T1390" s="3">
        <v>309.67</v>
      </c>
      <c r="U1390" s="3">
        <v>133.53</v>
      </c>
      <c r="V1390" s="3">
        <v>123.31</v>
      </c>
      <c r="W1390" s="3">
        <v>52.83</v>
      </c>
    </row>
    <row r="1391" spans="1:23" ht="60.75">
      <c r="A1391" s="3" t="s">
        <v>23</v>
      </c>
      <c r="B1391" s="3" t="s">
        <v>24</v>
      </c>
      <c r="C1391" s="3" t="s">
        <v>35</v>
      </c>
      <c r="D1391" s="3" t="s">
        <v>48</v>
      </c>
      <c r="E1391" s="3" t="s">
        <v>30</v>
      </c>
      <c r="F1391" s="3" t="s">
        <v>91</v>
      </c>
      <c r="G1391" s="3">
        <v>2016</v>
      </c>
      <c r="H1391" s="3" t="str">
        <f>CONCATENATE("64210569410")</f>
        <v>64210569410</v>
      </c>
      <c r="I1391" s="3" t="s">
        <v>25</v>
      </c>
      <c r="J1391" s="3" t="s">
        <v>26</v>
      </c>
      <c r="K1391" s="3" t="str">
        <f t="shared" si="45"/>
        <v/>
      </c>
      <c r="L1391" s="3" t="str">
        <f>CONCATENATE("13 13.1 4a")</f>
        <v>13 13.1 4a</v>
      </c>
      <c r="M1391" s="3" t="str">
        <f>CONCATENATE("FBRFST81T23B474X")</f>
        <v>FBRFST81T23B474X</v>
      </c>
      <c r="N1391" s="3" t="s">
        <v>1069</v>
      </c>
      <c r="O1391" s="3"/>
      <c r="P1391" s="4">
        <v>42783</v>
      </c>
      <c r="Q1391" s="3" t="s">
        <v>27</v>
      </c>
      <c r="R1391" s="3" t="s">
        <v>28</v>
      </c>
      <c r="S1391" s="3" t="s">
        <v>29</v>
      </c>
      <c r="T1391" s="5">
        <v>4590</v>
      </c>
      <c r="U1391" s="5">
        <v>1979.21</v>
      </c>
      <c r="V1391" s="5">
        <v>1827.74</v>
      </c>
      <c r="W1391" s="3">
        <v>783.05</v>
      </c>
    </row>
    <row r="1392" spans="1:23" ht="60.75">
      <c r="A1392" s="3" t="s">
        <v>23</v>
      </c>
      <c r="B1392" s="3" t="s">
        <v>24</v>
      </c>
      <c r="C1392" s="3" t="s">
        <v>35</v>
      </c>
      <c r="D1392" s="3" t="s">
        <v>36</v>
      </c>
      <c r="E1392" s="3" t="s">
        <v>33</v>
      </c>
      <c r="F1392" s="3" t="s">
        <v>360</v>
      </c>
      <c r="G1392" s="3">
        <v>2016</v>
      </c>
      <c r="H1392" s="3" t="str">
        <f>CONCATENATE("64240425971")</f>
        <v>64240425971</v>
      </c>
      <c r="I1392" s="3" t="s">
        <v>31</v>
      </c>
      <c r="J1392" s="3" t="s">
        <v>26</v>
      </c>
      <c r="K1392" s="3" t="str">
        <f t="shared" si="45"/>
        <v/>
      </c>
      <c r="L1392" s="3" t="str">
        <f>CONCATENATE("10 10.1 4b")</f>
        <v>10 10.1 4b</v>
      </c>
      <c r="M1392" s="3" t="str">
        <f>CONCATENATE("GLNMRK80E14D542J")</f>
        <v>GLNMRK80E14D542J</v>
      </c>
      <c r="N1392" s="3" t="s">
        <v>1451</v>
      </c>
      <c r="O1392" s="3"/>
      <c r="P1392" s="4">
        <v>42783</v>
      </c>
      <c r="Q1392" s="3" t="s">
        <v>27</v>
      </c>
      <c r="R1392" s="3" t="s">
        <v>28</v>
      </c>
      <c r="S1392" s="3" t="s">
        <v>29</v>
      </c>
      <c r="T1392" s="5">
        <v>1039.03</v>
      </c>
      <c r="U1392" s="3">
        <v>448.03</v>
      </c>
      <c r="V1392" s="3">
        <v>413.74</v>
      </c>
      <c r="W1392" s="3">
        <v>177.26</v>
      </c>
    </row>
    <row r="1393" spans="1:23" ht="60.75">
      <c r="A1393" s="3" t="s">
        <v>23</v>
      </c>
      <c r="B1393" s="3" t="s">
        <v>24</v>
      </c>
      <c r="C1393" s="3" t="s">
        <v>35</v>
      </c>
      <c r="D1393" s="3" t="s">
        <v>48</v>
      </c>
      <c r="E1393" s="3" t="s">
        <v>49</v>
      </c>
      <c r="F1393" s="3" t="s">
        <v>50</v>
      </c>
      <c r="G1393" s="3">
        <v>2016</v>
      </c>
      <c r="H1393" s="3" t="str">
        <f>CONCATENATE("64240242244")</f>
        <v>64240242244</v>
      </c>
      <c r="I1393" s="3" t="s">
        <v>25</v>
      </c>
      <c r="J1393" s="3" t="s">
        <v>26</v>
      </c>
      <c r="K1393" s="3" t="str">
        <f t="shared" si="45"/>
        <v/>
      </c>
      <c r="L1393" s="3" t="str">
        <f>CONCATENATE("11 11.2 4b")</f>
        <v>11 11.2 4b</v>
      </c>
      <c r="M1393" s="3" t="str">
        <f>CONCATENATE("FLRNAA59T53Z505P")</f>
        <v>FLRNAA59T53Z505P</v>
      </c>
      <c r="N1393" s="3" t="s">
        <v>1452</v>
      </c>
      <c r="O1393" s="3"/>
      <c r="P1393" s="4">
        <v>42783</v>
      </c>
      <c r="Q1393" s="3" t="s">
        <v>27</v>
      </c>
      <c r="R1393" s="3" t="s">
        <v>28</v>
      </c>
      <c r="S1393" s="3" t="s">
        <v>29</v>
      </c>
      <c r="T1393" s="5">
        <v>2460.96</v>
      </c>
      <c r="U1393" s="5">
        <v>1061.17</v>
      </c>
      <c r="V1393" s="3">
        <v>979.95</v>
      </c>
      <c r="W1393" s="3">
        <v>419.84</v>
      </c>
    </row>
    <row r="1394" spans="1:23" ht="60.75">
      <c r="A1394" s="3" t="s">
        <v>23</v>
      </c>
      <c r="B1394" s="3" t="s">
        <v>24</v>
      </c>
      <c r="C1394" s="3" t="s">
        <v>35</v>
      </c>
      <c r="D1394" s="3" t="s">
        <v>48</v>
      </c>
      <c r="E1394" s="3" t="s">
        <v>59</v>
      </c>
      <c r="F1394" s="3" t="s">
        <v>240</v>
      </c>
      <c r="G1394" s="3">
        <v>2016</v>
      </c>
      <c r="H1394" s="3" t="str">
        <f>CONCATENATE("64240523783")</f>
        <v>64240523783</v>
      </c>
      <c r="I1394" s="3" t="s">
        <v>31</v>
      </c>
      <c r="J1394" s="3" t="s">
        <v>26</v>
      </c>
      <c r="K1394" s="3" t="str">
        <f t="shared" si="45"/>
        <v/>
      </c>
      <c r="L1394" s="3" t="str">
        <f>CONCATENATE("11 11.2 4b")</f>
        <v>11 11.2 4b</v>
      </c>
      <c r="M1394" s="3" t="str">
        <f>CONCATENATE("PPGLND80E23I156C")</f>
        <v>PPGLND80E23I156C</v>
      </c>
      <c r="N1394" s="3" t="s">
        <v>1453</v>
      </c>
      <c r="O1394" s="3"/>
      <c r="P1394" s="4">
        <v>42783</v>
      </c>
      <c r="Q1394" s="3" t="s">
        <v>27</v>
      </c>
      <c r="R1394" s="3" t="s">
        <v>28</v>
      </c>
      <c r="S1394" s="3" t="s">
        <v>29</v>
      </c>
      <c r="T1394" s="5">
        <v>22130.2</v>
      </c>
      <c r="U1394" s="5">
        <v>9542.5400000000009</v>
      </c>
      <c r="V1394" s="5">
        <v>8812.25</v>
      </c>
      <c r="W1394" s="5">
        <v>3775.41</v>
      </c>
    </row>
    <row r="1395" spans="1:23" ht="36.75">
      <c r="A1395" s="3" t="s">
        <v>23</v>
      </c>
      <c r="B1395" s="3" t="s">
        <v>24</v>
      </c>
      <c r="C1395" s="3" t="s">
        <v>35</v>
      </c>
      <c r="D1395" s="3" t="s">
        <v>43</v>
      </c>
      <c r="E1395" s="3" t="s">
        <v>30</v>
      </c>
      <c r="F1395" s="3" t="s">
        <v>104</v>
      </c>
      <c r="G1395" s="3">
        <v>2016</v>
      </c>
      <c r="H1395" s="3" t="str">
        <f>CONCATENATE("64240477576")</f>
        <v>64240477576</v>
      </c>
      <c r="I1395" s="3" t="s">
        <v>25</v>
      </c>
      <c r="J1395" s="3" t="s">
        <v>26</v>
      </c>
      <c r="K1395" s="3" t="str">
        <f t="shared" si="45"/>
        <v/>
      </c>
      <c r="L1395" s="3" t="str">
        <f>CONCATENATE("11 11.1 4b")</f>
        <v>11 11.1 4b</v>
      </c>
      <c r="M1395" s="3" t="str">
        <f>CONCATENATE("02611800414")</f>
        <v>02611800414</v>
      </c>
      <c r="N1395" s="3" t="s">
        <v>1454</v>
      </c>
      <c r="O1395" s="3"/>
      <c r="P1395" s="4">
        <v>42783</v>
      </c>
      <c r="Q1395" s="3" t="s">
        <v>27</v>
      </c>
      <c r="R1395" s="3" t="s">
        <v>28</v>
      </c>
      <c r="S1395" s="3" t="s">
        <v>29</v>
      </c>
      <c r="T1395" s="5">
        <v>5077.04</v>
      </c>
      <c r="U1395" s="5">
        <v>2189.2199999999998</v>
      </c>
      <c r="V1395" s="5">
        <v>2021.68</v>
      </c>
      <c r="W1395" s="3">
        <v>866.14</v>
      </c>
    </row>
    <row r="1396" spans="1:23" ht="36.75">
      <c r="A1396" s="3" t="s">
        <v>23</v>
      </c>
      <c r="B1396" s="3" t="s">
        <v>24</v>
      </c>
      <c r="C1396" s="3" t="s">
        <v>35</v>
      </c>
      <c r="D1396" s="3" t="s">
        <v>39</v>
      </c>
      <c r="E1396" s="3" t="s">
        <v>30</v>
      </c>
      <c r="F1396" s="3" t="s">
        <v>196</v>
      </c>
      <c r="G1396" s="3">
        <v>2016</v>
      </c>
      <c r="H1396" s="3" t="str">
        <f>CONCATENATE("64240684221")</f>
        <v>64240684221</v>
      </c>
      <c r="I1396" s="3" t="s">
        <v>25</v>
      </c>
      <c r="J1396" s="3" t="s">
        <v>26</v>
      </c>
      <c r="K1396" s="3" t="str">
        <f t="shared" si="45"/>
        <v/>
      </c>
      <c r="L1396" s="3" t="str">
        <f>CONCATENATE("11 11.1 4b")</f>
        <v>11 11.1 4b</v>
      </c>
      <c r="M1396" s="3" t="str">
        <f>CONCATENATE("01912260435")</f>
        <v>01912260435</v>
      </c>
      <c r="N1396" s="3" t="s">
        <v>1455</v>
      </c>
      <c r="O1396" s="3"/>
      <c r="P1396" s="4">
        <v>42783</v>
      </c>
      <c r="Q1396" s="3" t="s">
        <v>27</v>
      </c>
      <c r="R1396" s="3" t="s">
        <v>28</v>
      </c>
      <c r="S1396" s="3" t="s">
        <v>29</v>
      </c>
      <c r="T1396" s="3">
        <v>951.08</v>
      </c>
      <c r="U1396" s="3">
        <v>410.11</v>
      </c>
      <c r="V1396" s="3">
        <v>378.72</v>
      </c>
      <c r="W1396" s="3">
        <v>162.25</v>
      </c>
    </row>
    <row r="1397" spans="1:23" ht="36.75">
      <c r="A1397" s="3" t="s">
        <v>23</v>
      </c>
      <c r="B1397" s="3" t="s">
        <v>24</v>
      </c>
      <c r="C1397" s="3" t="s">
        <v>35</v>
      </c>
      <c r="D1397" s="3" t="s">
        <v>39</v>
      </c>
      <c r="E1397" s="3" t="s">
        <v>32</v>
      </c>
      <c r="F1397" s="3" t="s">
        <v>69</v>
      </c>
      <c r="G1397" s="3">
        <v>2016</v>
      </c>
      <c r="H1397" s="3" t="str">
        <f>CONCATENATE("64240500039")</f>
        <v>64240500039</v>
      </c>
      <c r="I1397" s="3" t="s">
        <v>25</v>
      </c>
      <c r="J1397" s="3" t="s">
        <v>26</v>
      </c>
      <c r="K1397" s="3" t="str">
        <f t="shared" si="45"/>
        <v/>
      </c>
      <c r="L1397" s="3" t="str">
        <f>CONCATENATE("11 11.2 4b")</f>
        <v>11 11.2 4b</v>
      </c>
      <c r="M1397" s="3" t="str">
        <f>CONCATENATE("02663240428")</f>
        <v>02663240428</v>
      </c>
      <c r="N1397" s="3" t="s">
        <v>456</v>
      </c>
      <c r="O1397" s="3"/>
      <c r="P1397" s="4">
        <v>42783</v>
      </c>
      <c r="Q1397" s="3" t="s">
        <v>27</v>
      </c>
      <c r="R1397" s="3" t="s">
        <v>28</v>
      </c>
      <c r="S1397" s="3" t="s">
        <v>29</v>
      </c>
      <c r="T1397" s="3">
        <v>442.02</v>
      </c>
      <c r="U1397" s="3">
        <v>190.6</v>
      </c>
      <c r="V1397" s="3">
        <v>176.01</v>
      </c>
      <c r="W1397" s="3">
        <v>75.41</v>
      </c>
    </row>
    <row r="1398" spans="1:23" ht="36.75">
      <c r="A1398" s="3" t="s">
        <v>23</v>
      </c>
      <c r="B1398" s="3" t="s">
        <v>24</v>
      </c>
      <c r="C1398" s="3" t="s">
        <v>35</v>
      </c>
      <c r="D1398" s="3" t="s">
        <v>43</v>
      </c>
      <c r="E1398" s="3" t="s">
        <v>34</v>
      </c>
      <c r="F1398" s="3" t="s">
        <v>146</v>
      </c>
      <c r="G1398" s="3">
        <v>2016</v>
      </c>
      <c r="H1398" s="3" t="str">
        <f>CONCATENATE("64240903951")</f>
        <v>64240903951</v>
      </c>
      <c r="I1398" s="3" t="s">
        <v>25</v>
      </c>
      <c r="J1398" s="3" t="s">
        <v>26</v>
      </c>
      <c r="K1398" s="3" t="str">
        <f t="shared" si="45"/>
        <v/>
      </c>
      <c r="L1398" s="3" t="str">
        <f>CONCATENATE("10 10.1 4b")</f>
        <v>10 10.1 4b</v>
      </c>
      <c r="M1398" s="3" t="str">
        <f>CONCATENATE("80002300418")</f>
        <v>80002300418</v>
      </c>
      <c r="N1398" s="3" t="s">
        <v>1456</v>
      </c>
      <c r="O1398" s="3"/>
      <c r="P1398" s="4">
        <v>42783</v>
      </c>
      <c r="Q1398" s="3" t="s">
        <v>27</v>
      </c>
      <c r="R1398" s="3" t="s">
        <v>28</v>
      </c>
      <c r="S1398" s="3" t="s">
        <v>29</v>
      </c>
      <c r="T1398" s="5">
        <v>4640.54</v>
      </c>
      <c r="U1398" s="5">
        <v>2001</v>
      </c>
      <c r="V1398" s="5">
        <v>1847.86</v>
      </c>
      <c r="W1398" s="3">
        <v>791.68</v>
      </c>
    </row>
    <row r="1399" spans="1:23" ht="60.75">
      <c r="A1399" s="3" t="s">
        <v>23</v>
      </c>
      <c r="B1399" s="3" t="s">
        <v>24</v>
      </c>
      <c r="C1399" s="3" t="s">
        <v>35</v>
      </c>
      <c r="D1399" s="3" t="s">
        <v>39</v>
      </c>
      <c r="E1399" s="3" t="s">
        <v>34</v>
      </c>
      <c r="F1399" s="3" t="s">
        <v>170</v>
      </c>
      <c r="G1399" s="3">
        <v>2016</v>
      </c>
      <c r="H1399" s="3" t="str">
        <f>CONCATENATE("64240626735")</f>
        <v>64240626735</v>
      </c>
      <c r="I1399" s="3" t="s">
        <v>31</v>
      </c>
      <c r="J1399" s="3" t="s">
        <v>26</v>
      </c>
      <c r="K1399" s="3" t="str">
        <f t="shared" si="45"/>
        <v/>
      </c>
      <c r="L1399" s="3" t="str">
        <f>CONCATENATE("11 11.2 4b")</f>
        <v>11 11.2 4b</v>
      </c>
      <c r="M1399" s="3" t="str">
        <f>CONCATENATE("STRLSN58R19A271I")</f>
        <v>STRLSN58R19A271I</v>
      </c>
      <c r="N1399" s="3" t="s">
        <v>1457</v>
      </c>
      <c r="O1399" s="3"/>
      <c r="P1399" s="4">
        <v>42783</v>
      </c>
      <c r="Q1399" s="3" t="s">
        <v>27</v>
      </c>
      <c r="R1399" s="3" t="s">
        <v>28</v>
      </c>
      <c r="S1399" s="3" t="s">
        <v>29</v>
      </c>
      <c r="T1399" s="5">
        <v>6992.97</v>
      </c>
      <c r="U1399" s="5">
        <v>3015.37</v>
      </c>
      <c r="V1399" s="5">
        <v>2784.6</v>
      </c>
      <c r="W1399" s="5">
        <v>1193</v>
      </c>
    </row>
    <row r="1400" spans="1:23" ht="72.75">
      <c r="A1400" s="3" t="s">
        <v>23</v>
      </c>
      <c r="B1400" s="3" t="s">
        <v>24</v>
      </c>
      <c r="C1400" s="3" t="s">
        <v>35</v>
      </c>
      <c r="D1400" s="3" t="s">
        <v>36</v>
      </c>
      <c r="E1400" s="3" t="s">
        <v>30</v>
      </c>
      <c r="F1400" s="3" t="s">
        <v>86</v>
      </c>
      <c r="G1400" s="3">
        <v>2016</v>
      </c>
      <c r="H1400" s="3" t="str">
        <f>CONCATENATE("64210733693")</f>
        <v>64210733693</v>
      </c>
      <c r="I1400" s="3" t="s">
        <v>25</v>
      </c>
      <c r="J1400" s="3" t="s">
        <v>26</v>
      </c>
      <c r="K1400" s="3" t="str">
        <f t="shared" si="45"/>
        <v/>
      </c>
      <c r="L1400" s="3" t="str">
        <f>CONCATENATE("13 13.1 4a")</f>
        <v>13 13.1 4a</v>
      </c>
      <c r="M1400" s="3" t="str">
        <f>CONCATENATE("CMCMSM75H24A462Y")</f>
        <v>CMCMSM75H24A462Y</v>
      </c>
      <c r="N1400" s="3" t="s">
        <v>1458</v>
      </c>
      <c r="O1400" s="3"/>
      <c r="P1400" s="4">
        <v>42783</v>
      </c>
      <c r="Q1400" s="3" t="s">
        <v>27</v>
      </c>
      <c r="R1400" s="3" t="s">
        <v>28</v>
      </c>
      <c r="S1400" s="3" t="s">
        <v>29</v>
      </c>
      <c r="T1400" s="3">
        <v>449</v>
      </c>
      <c r="U1400" s="3">
        <v>193.61</v>
      </c>
      <c r="V1400" s="3">
        <v>178.79</v>
      </c>
      <c r="W1400" s="3">
        <v>76.599999999999994</v>
      </c>
    </row>
    <row r="1401" spans="1:23" ht="60.75">
      <c r="A1401" s="3" t="s">
        <v>23</v>
      </c>
      <c r="B1401" s="3" t="s">
        <v>24</v>
      </c>
      <c r="C1401" s="3" t="s">
        <v>35</v>
      </c>
      <c r="D1401" s="3" t="s">
        <v>43</v>
      </c>
      <c r="E1401" s="3" t="s">
        <v>49</v>
      </c>
      <c r="F1401" s="3" t="s">
        <v>276</v>
      </c>
      <c r="G1401" s="3">
        <v>2016</v>
      </c>
      <c r="H1401" s="3" t="str">
        <f>CONCATENATE("64240368882")</f>
        <v>64240368882</v>
      </c>
      <c r="I1401" s="3" t="s">
        <v>25</v>
      </c>
      <c r="J1401" s="3" t="s">
        <v>26</v>
      </c>
      <c r="K1401" s="3" t="str">
        <f t="shared" si="45"/>
        <v/>
      </c>
      <c r="L1401" s="3" t="str">
        <f>CONCATENATE("11 11.2 4b")</f>
        <v>11 11.2 4b</v>
      </c>
      <c r="M1401" s="3" t="str">
        <f>CONCATENATE("BNCSFN62C04L500O")</f>
        <v>BNCSFN62C04L500O</v>
      </c>
      <c r="N1401" s="3" t="s">
        <v>386</v>
      </c>
      <c r="O1401" s="3"/>
      <c r="P1401" s="4">
        <v>42783</v>
      </c>
      <c r="Q1401" s="3" t="s">
        <v>27</v>
      </c>
      <c r="R1401" s="3" t="s">
        <v>28</v>
      </c>
      <c r="S1401" s="3" t="s">
        <v>29</v>
      </c>
      <c r="T1401" s="5">
        <v>14220.28</v>
      </c>
      <c r="U1401" s="5">
        <v>6131.78</v>
      </c>
      <c r="V1401" s="5">
        <v>5662.52</v>
      </c>
      <c r="W1401" s="5">
        <v>2425.98</v>
      </c>
    </row>
    <row r="1402" spans="1:23" ht="72.75">
      <c r="A1402" s="3" t="s">
        <v>23</v>
      </c>
      <c r="B1402" s="3" t="s">
        <v>24</v>
      </c>
      <c r="C1402" s="3" t="s">
        <v>35</v>
      </c>
      <c r="D1402" s="3" t="s">
        <v>36</v>
      </c>
      <c r="E1402" s="3" t="s">
        <v>42</v>
      </c>
      <c r="F1402" s="3" t="s">
        <v>42</v>
      </c>
      <c r="G1402" s="3">
        <v>2016</v>
      </c>
      <c r="H1402" s="3" t="str">
        <f>CONCATENATE("64240402335")</f>
        <v>64240402335</v>
      </c>
      <c r="I1402" s="3" t="s">
        <v>25</v>
      </c>
      <c r="J1402" s="3" t="s">
        <v>26</v>
      </c>
      <c r="K1402" s="3" t="str">
        <f t="shared" si="45"/>
        <v/>
      </c>
      <c r="L1402" s="3" t="str">
        <f>CONCATENATE("11 11.2 4b")</f>
        <v>11 11.2 4b</v>
      </c>
      <c r="M1402" s="3" t="str">
        <f>CONCATENATE("CTNGZN57R18D096G")</f>
        <v>CTNGZN57R18D096G</v>
      </c>
      <c r="N1402" s="3" t="s">
        <v>1459</v>
      </c>
      <c r="O1402" s="3"/>
      <c r="P1402" s="4">
        <v>42783</v>
      </c>
      <c r="Q1402" s="3" t="s">
        <v>27</v>
      </c>
      <c r="R1402" s="3" t="s">
        <v>28</v>
      </c>
      <c r="S1402" s="3" t="s">
        <v>29</v>
      </c>
      <c r="T1402" s="5">
        <v>2087.98</v>
      </c>
      <c r="U1402" s="3">
        <v>900.34</v>
      </c>
      <c r="V1402" s="3">
        <v>831.43</v>
      </c>
      <c r="W1402" s="3">
        <v>356.21</v>
      </c>
    </row>
    <row r="1403" spans="1:23" ht="72.75">
      <c r="A1403" s="3" t="s">
        <v>23</v>
      </c>
      <c r="B1403" s="3" t="s">
        <v>24</v>
      </c>
      <c r="C1403" s="3" t="s">
        <v>35</v>
      </c>
      <c r="D1403" s="3" t="s">
        <v>39</v>
      </c>
      <c r="E1403" s="3" t="s">
        <v>30</v>
      </c>
      <c r="F1403" s="3" t="s">
        <v>40</v>
      </c>
      <c r="G1403" s="3">
        <v>2016</v>
      </c>
      <c r="H1403" s="3" t="str">
        <f>CONCATENATE("64240530192")</f>
        <v>64240530192</v>
      </c>
      <c r="I1403" s="3" t="s">
        <v>25</v>
      </c>
      <c r="J1403" s="3" t="s">
        <v>26</v>
      </c>
      <c r="K1403" s="3" t="str">
        <f t="shared" si="45"/>
        <v/>
      </c>
      <c r="L1403" s="3" t="str">
        <f>CONCATENATE("11 11.2 4b")</f>
        <v>11 11.2 4b</v>
      </c>
      <c r="M1403" s="3" t="str">
        <f>CONCATENATE("NCNGLG60M18H575V")</f>
        <v>NCNGLG60M18H575V</v>
      </c>
      <c r="N1403" s="3" t="s">
        <v>1460</v>
      </c>
      <c r="O1403" s="3"/>
      <c r="P1403" s="4">
        <v>42783</v>
      </c>
      <c r="Q1403" s="3" t="s">
        <v>27</v>
      </c>
      <c r="R1403" s="3" t="s">
        <v>28</v>
      </c>
      <c r="S1403" s="3" t="s">
        <v>29</v>
      </c>
      <c r="T1403" s="5">
        <v>1053.9000000000001</v>
      </c>
      <c r="U1403" s="3">
        <v>454.44</v>
      </c>
      <c r="V1403" s="3">
        <v>419.66</v>
      </c>
      <c r="W1403" s="3">
        <v>179.8</v>
      </c>
    </row>
    <row r="1404" spans="1:23" ht="60.75">
      <c r="A1404" s="3" t="s">
        <v>23</v>
      </c>
      <c r="B1404" s="3" t="s">
        <v>24</v>
      </c>
      <c r="C1404" s="3" t="s">
        <v>35</v>
      </c>
      <c r="D1404" s="3" t="s">
        <v>48</v>
      </c>
      <c r="E1404" s="3" t="s">
        <v>30</v>
      </c>
      <c r="F1404" s="3" t="s">
        <v>157</v>
      </c>
      <c r="G1404" s="3">
        <v>2016</v>
      </c>
      <c r="H1404" s="3" t="str">
        <f>CONCATENATE("64240391926")</f>
        <v>64240391926</v>
      </c>
      <c r="I1404" s="3" t="s">
        <v>25</v>
      </c>
      <c r="J1404" s="3" t="s">
        <v>26</v>
      </c>
      <c r="K1404" s="3" t="str">
        <f t="shared" si="45"/>
        <v/>
      </c>
      <c r="L1404" s="3" t="str">
        <f>CONCATENATE("11 11.2 4b")</f>
        <v>11 11.2 4b</v>
      </c>
      <c r="M1404" s="3" t="str">
        <f>CONCATENATE("SCGFNC85R04I156V")</f>
        <v>SCGFNC85R04I156V</v>
      </c>
      <c r="N1404" s="3" t="s">
        <v>1461</v>
      </c>
      <c r="O1404" s="3"/>
      <c r="P1404" s="4">
        <v>42783</v>
      </c>
      <c r="Q1404" s="3" t="s">
        <v>27</v>
      </c>
      <c r="R1404" s="3" t="s">
        <v>28</v>
      </c>
      <c r="S1404" s="3" t="s">
        <v>29</v>
      </c>
      <c r="T1404" s="3">
        <v>507.16</v>
      </c>
      <c r="U1404" s="3">
        <v>218.69</v>
      </c>
      <c r="V1404" s="3">
        <v>201.95</v>
      </c>
      <c r="W1404" s="3">
        <v>86.52</v>
      </c>
    </row>
    <row r="1405" spans="1:23" ht="60.75">
      <c r="A1405" s="3" t="s">
        <v>23</v>
      </c>
      <c r="B1405" s="3" t="s">
        <v>24</v>
      </c>
      <c r="C1405" s="3" t="s">
        <v>35</v>
      </c>
      <c r="D1405" s="3" t="s">
        <v>43</v>
      </c>
      <c r="E1405" s="3" t="s">
        <v>33</v>
      </c>
      <c r="F1405" s="3" t="s">
        <v>848</v>
      </c>
      <c r="G1405" s="3">
        <v>2016</v>
      </c>
      <c r="H1405" s="3" t="str">
        <f>CONCATENATE("64240624359")</f>
        <v>64240624359</v>
      </c>
      <c r="I1405" s="3" t="s">
        <v>25</v>
      </c>
      <c r="J1405" s="3" t="s">
        <v>26</v>
      </c>
      <c r="K1405" s="3" t="str">
        <f t="shared" si="45"/>
        <v/>
      </c>
      <c r="L1405" s="3" t="str">
        <f>CONCATENATE("11 11.2 4b")</f>
        <v>11 11.2 4b</v>
      </c>
      <c r="M1405" s="3" t="str">
        <f>CONCATENATE("BTTGPP33B43E351Q")</f>
        <v>BTTGPP33B43E351Q</v>
      </c>
      <c r="N1405" s="3" t="s">
        <v>1462</v>
      </c>
      <c r="O1405" s="3"/>
      <c r="P1405" s="4">
        <v>42783</v>
      </c>
      <c r="Q1405" s="3" t="s">
        <v>27</v>
      </c>
      <c r="R1405" s="3" t="s">
        <v>28</v>
      </c>
      <c r="S1405" s="3" t="s">
        <v>29</v>
      </c>
      <c r="T1405" s="5">
        <v>1995.12</v>
      </c>
      <c r="U1405" s="3">
        <v>860.3</v>
      </c>
      <c r="V1405" s="3">
        <v>794.46</v>
      </c>
      <c r="W1405" s="3">
        <v>340.36</v>
      </c>
    </row>
    <row r="1406" spans="1:23" ht="36.75">
      <c r="A1406" s="3" t="s">
        <v>23</v>
      </c>
      <c r="B1406" s="3" t="s">
        <v>24</v>
      </c>
      <c r="C1406" s="3" t="s">
        <v>35</v>
      </c>
      <c r="D1406" s="3" t="s">
        <v>43</v>
      </c>
      <c r="E1406" s="3" t="s">
        <v>34</v>
      </c>
      <c r="F1406" s="3" t="s">
        <v>146</v>
      </c>
      <c r="G1406" s="3">
        <v>2016</v>
      </c>
      <c r="H1406" s="3" t="str">
        <f>CONCATENATE("64210783599")</f>
        <v>64210783599</v>
      </c>
      <c r="I1406" s="3" t="s">
        <v>25</v>
      </c>
      <c r="J1406" s="3" t="s">
        <v>26</v>
      </c>
      <c r="K1406" s="3" t="str">
        <f t="shared" si="45"/>
        <v/>
      </c>
      <c r="L1406" s="3" t="str">
        <f>CONCATENATE("13 13.1 4a")</f>
        <v>13 13.1 4a</v>
      </c>
      <c r="M1406" s="3" t="str">
        <f>CONCATENATE("00199680547")</f>
        <v>00199680547</v>
      </c>
      <c r="N1406" s="3" t="s">
        <v>316</v>
      </c>
      <c r="O1406" s="3"/>
      <c r="P1406" s="4">
        <v>42783</v>
      </c>
      <c r="Q1406" s="3" t="s">
        <v>27</v>
      </c>
      <c r="R1406" s="3" t="s">
        <v>28</v>
      </c>
      <c r="S1406" s="3" t="s">
        <v>29</v>
      </c>
      <c r="T1406" s="5">
        <v>4590</v>
      </c>
      <c r="U1406" s="5">
        <v>1979.21</v>
      </c>
      <c r="V1406" s="5">
        <v>1827.74</v>
      </c>
      <c r="W1406" s="3">
        <v>783.05</v>
      </c>
    </row>
    <row r="1407" spans="1:23" ht="60.75">
      <c r="A1407" s="3" t="s">
        <v>23</v>
      </c>
      <c r="B1407" s="3" t="s">
        <v>24</v>
      </c>
      <c r="C1407" s="3" t="s">
        <v>35</v>
      </c>
      <c r="D1407" s="3" t="s">
        <v>43</v>
      </c>
      <c r="E1407" s="3" t="s">
        <v>42</v>
      </c>
      <c r="F1407" s="3" t="s">
        <v>42</v>
      </c>
      <c r="G1407" s="3">
        <v>2016</v>
      </c>
      <c r="H1407" s="3" t="str">
        <f>CONCATENATE("64240560983")</f>
        <v>64240560983</v>
      </c>
      <c r="I1407" s="3" t="s">
        <v>25</v>
      </c>
      <c r="J1407" s="3" t="s">
        <v>26</v>
      </c>
      <c r="K1407" s="3" t="str">
        <f t="shared" si="45"/>
        <v/>
      </c>
      <c r="L1407" s="3" t="str">
        <f>CONCATENATE("11 11.2 4b")</f>
        <v>11 11.2 4b</v>
      </c>
      <c r="M1407" s="3" t="str">
        <f>CONCATENATE("VLNLSN65L29L500T")</f>
        <v>VLNLSN65L29L500T</v>
      </c>
      <c r="N1407" s="3" t="s">
        <v>1463</v>
      </c>
      <c r="O1407" s="3"/>
      <c r="P1407" s="4">
        <v>42783</v>
      </c>
      <c r="Q1407" s="3" t="s">
        <v>27</v>
      </c>
      <c r="R1407" s="3" t="s">
        <v>28</v>
      </c>
      <c r="S1407" s="3" t="s">
        <v>29</v>
      </c>
      <c r="T1407" s="5">
        <v>14912.34</v>
      </c>
      <c r="U1407" s="5">
        <v>6430.2</v>
      </c>
      <c r="V1407" s="5">
        <v>5938.09</v>
      </c>
      <c r="W1407" s="5">
        <v>2544.0500000000002</v>
      </c>
    </row>
    <row r="1408" spans="1:23" ht="60.75">
      <c r="A1408" s="3" t="s">
        <v>23</v>
      </c>
      <c r="B1408" s="3" t="s">
        <v>24</v>
      </c>
      <c r="C1408" s="3" t="s">
        <v>35</v>
      </c>
      <c r="D1408" s="3" t="s">
        <v>39</v>
      </c>
      <c r="E1408" s="3" t="s">
        <v>30</v>
      </c>
      <c r="F1408" s="3" t="s">
        <v>84</v>
      </c>
      <c r="G1408" s="3">
        <v>2016</v>
      </c>
      <c r="H1408" s="3" t="str">
        <f>CONCATENATE("64210915878")</f>
        <v>64210915878</v>
      </c>
      <c r="I1408" s="3" t="s">
        <v>25</v>
      </c>
      <c r="J1408" s="3" t="s">
        <v>26</v>
      </c>
      <c r="K1408" s="3" t="str">
        <f t="shared" si="45"/>
        <v/>
      </c>
      <c r="L1408" s="3" t="str">
        <f>CONCATENATE("13 13.1 4a")</f>
        <v>13 13.1 4a</v>
      </c>
      <c r="M1408" s="3" t="str">
        <f>CONCATENATE("FRNLGU38L10G478C")</f>
        <v>FRNLGU38L10G478C</v>
      </c>
      <c r="N1408" s="3" t="s">
        <v>1464</v>
      </c>
      <c r="O1408" s="3"/>
      <c r="P1408" s="4">
        <v>42783</v>
      </c>
      <c r="Q1408" s="3" t="s">
        <v>27</v>
      </c>
      <c r="R1408" s="3" t="s">
        <v>28</v>
      </c>
      <c r="S1408" s="3" t="s">
        <v>29</v>
      </c>
      <c r="T1408" s="5">
        <v>4544.1000000000004</v>
      </c>
      <c r="U1408" s="5">
        <v>1959.42</v>
      </c>
      <c r="V1408" s="5">
        <v>1809.46</v>
      </c>
      <c r="W1408" s="3">
        <v>775.22</v>
      </c>
    </row>
    <row r="1409" spans="1:23" ht="60.75">
      <c r="A1409" s="3" t="s">
        <v>23</v>
      </c>
      <c r="B1409" s="3" t="s">
        <v>24</v>
      </c>
      <c r="C1409" s="3" t="s">
        <v>35</v>
      </c>
      <c r="D1409" s="3" t="s">
        <v>39</v>
      </c>
      <c r="E1409" s="3" t="s">
        <v>32</v>
      </c>
      <c r="F1409" s="3" t="s">
        <v>215</v>
      </c>
      <c r="G1409" s="3">
        <v>2016</v>
      </c>
      <c r="H1409" s="3" t="str">
        <f>CONCATENATE("64240184289")</f>
        <v>64240184289</v>
      </c>
      <c r="I1409" s="3" t="s">
        <v>25</v>
      </c>
      <c r="J1409" s="3" t="s">
        <v>26</v>
      </c>
      <c r="K1409" s="3" t="str">
        <f t="shared" si="45"/>
        <v/>
      </c>
      <c r="L1409" s="3" t="str">
        <f>CONCATENATE("11 11.2 4b")</f>
        <v>11 11.2 4b</v>
      </c>
      <c r="M1409" s="3" t="str">
        <f>CONCATENATE("PLLNLM56D21A225R")</f>
        <v>PLLNLM56D21A225R</v>
      </c>
      <c r="N1409" s="3" t="s">
        <v>1305</v>
      </c>
      <c r="O1409" s="3"/>
      <c r="P1409" s="4">
        <v>42783</v>
      </c>
      <c r="Q1409" s="3" t="s">
        <v>27</v>
      </c>
      <c r="R1409" s="3" t="s">
        <v>28</v>
      </c>
      <c r="S1409" s="3" t="s">
        <v>29</v>
      </c>
      <c r="T1409" s="5">
        <v>1731.6</v>
      </c>
      <c r="U1409" s="3">
        <v>746.67</v>
      </c>
      <c r="V1409" s="3">
        <v>689.52</v>
      </c>
      <c r="W1409" s="3">
        <v>295.41000000000003</v>
      </c>
    </row>
    <row r="1410" spans="1:23" ht="60.75">
      <c r="A1410" s="3" t="s">
        <v>23</v>
      </c>
      <c r="B1410" s="3" t="s">
        <v>24</v>
      </c>
      <c r="C1410" s="3" t="s">
        <v>35</v>
      </c>
      <c r="D1410" s="3" t="s">
        <v>48</v>
      </c>
      <c r="E1410" s="3" t="s">
        <v>33</v>
      </c>
      <c r="F1410" s="3" t="s">
        <v>212</v>
      </c>
      <c r="G1410" s="3">
        <v>2016</v>
      </c>
      <c r="H1410" s="3" t="str">
        <f>CONCATENATE("64240747168")</f>
        <v>64240747168</v>
      </c>
      <c r="I1410" s="3" t="s">
        <v>31</v>
      </c>
      <c r="J1410" s="3" t="s">
        <v>26</v>
      </c>
      <c r="K1410" s="3" t="str">
        <f t="shared" si="45"/>
        <v/>
      </c>
      <c r="L1410" s="3" t="str">
        <f>CONCATENATE("11 11.1 4b")</f>
        <v>11 11.1 4b</v>
      </c>
      <c r="M1410" s="3" t="str">
        <f>CONCATENATE("CRVBRC82A52H211K")</f>
        <v>CRVBRC82A52H211K</v>
      </c>
      <c r="N1410" s="3" t="s">
        <v>1465</v>
      </c>
      <c r="O1410" s="3"/>
      <c r="P1410" s="4">
        <v>42783</v>
      </c>
      <c r="Q1410" s="3" t="s">
        <v>27</v>
      </c>
      <c r="R1410" s="3" t="s">
        <v>28</v>
      </c>
      <c r="S1410" s="3" t="s">
        <v>29</v>
      </c>
      <c r="T1410" s="3">
        <v>547.28</v>
      </c>
      <c r="U1410" s="3">
        <v>235.99</v>
      </c>
      <c r="V1410" s="3">
        <v>217.93</v>
      </c>
      <c r="W1410" s="3">
        <v>93.36</v>
      </c>
    </row>
    <row r="1411" spans="1:23" ht="36.75">
      <c r="A1411" s="3" t="s">
        <v>23</v>
      </c>
      <c r="B1411" s="3" t="s">
        <v>24</v>
      </c>
      <c r="C1411" s="3" t="s">
        <v>35</v>
      </c>
      <c r="D1411" s="3" t="s">
        <v>43</v>
      </c>
      <c r="E1411" s="3" t="s">
        <v>30</v>
      </c>
      <c r="F1411" s="3" t="s">
        <v>113</v>
      </c>
      <c r="G1411" s="3">
        <v>2016</v>
      </c>
      <c r="H1411" s="3" t="str">
        <f>CONCATENATE("64240262572")</f>
        <v>64240262572</v>
      </c>
      <c r="I1411" s="3" t="s">
        <v>25</v>
      </c>
      <c r="J1411" s="3" t="s">
        <v>26</v>
      </c>
      <c r="K1411" s="3" t="str">
        <f t="shared" si="45"/>
        <v/>
      </c>
      <c r="L1411" s="3" t="str">
        <f t="shared" ref="L1411:L1416" si="46">CONCATENATE("11 11.2 4b")</f>
        <v>11 11.2 4b</v>
      </c>
      <c r="M1411" s="3" t="str">
        <f>CONCATENATE("01449850419")</f>
        <v>01449850419</v>
      </c>
      <c r="N1411" s="3" t="s">
        <v>1466</v>
      </c>
      <c r="O1411" s="3"/>
      <c r="P1411" s="4">
        <v>42783</v>
      </c>
      <c r="Q1411" s="3" t="s">
        <v>27</v>
      </c>
      <c r="R1411" s="3" t="s">
        <v>28</v>
      </c>
      <c r="S1411" s="3" t="s">
        <v>29</v>
      </c>
      <c r="T1411" s="5">
        <v>3679.25</v>
      </c>
      <c r="U1411" s="5">
        <v>1586.49</v>
      </c>
      <c r="V1411" s="5">
        <v>1465.08</v>
      </c>
      <c r="W1411" s="3">
        <v>627.67999999999995</v>
      </c>
    </row>
    <row r="1412" spans="1:23" ht="60.75">
      <c r="A1412" s="3" t="s">
        <v>23</v>
      </c>
      <c r="B1412" s="3" t="s">
        <v>24</v>
      </c>
      <c r="C1412" s="3" t="s">
        <v>35</v>
      </c>
      <c r="D1412" s="3" t="s">
        <v>36</v>
      </c>
      <c r="E1412" s="3" t="s">
        <v>59</v>
      </c>
      <c r="F1412" s="3" t="s">
        <v>62</v>
      </c>
      <c r="G1412" s="3">
        <v>2016</v>
      </c>
      <c r="H1412" s="3" t="str">
        <f>CONCATENATE("64240905337")</f>
        <v>64240905337</v>
      </c>
      <c r="I1412" s="3" t="s">
        <v>25</v>
      </c>
      <c r="J1412" s="3" t="s">
        <v>26</v>
      </c>
      <c r="K1412" s="3" t="str">
        <f t="shared" si="45"/>
        <v/>
      </c>
      <c r="L1412" s="3" t="str">
        <f t="shared" si="46"/>
        <v>11 11.2 4b</v>
      </c>
      <c r="M1412" s="3" t="str">
        <f>CONCATENATE("CCCNTN38A29D096P")</f>
        <v>CCCNTN38A29D096P</v>
      </c>
      <c r="N1412" s="3" t="s">
        <v>1467</v>
      </c>
      <c r="O1412" s="3"/>
      <c r="P1412" s="4">
        <v>42783</v>
      </c>
      <c r="Q1412" s="3" t="s">
        <v>27</v>
      </c>
      <c r="R1412" s="3" t="s">
        <v>28</v>
      </c>
      <c r="S1412" s="3" t="s">
        <v>29</v>
      </c>
      <c r="T1412" s="3">
        <v>872.8</v>
      </c>
      <c r="U1412" s="3">
        <v>376.35</v>
      </c>
      <c r="V1412" s="3">
        <v>347.55</v>
      </c>
      <c r="W1412" s="3">
        <v>148.9</v>
      </c>
    </row>
    <row r="1413" spans="1:23" ht="36.75">
      <c r="A1413" s="3" t="s">
        <v>23</v>
      </c>
      <c r="B1413" s="3" t="s">
        <v>24</v>
      </c>
      <c r="C1413" s="3" t="s">
        <v>35</v>
      </c>
      <c r="D1413" s="3" t="s">
        <v>48</v>
      </c>
      <c r="E1413" s="3" t="s">
        <v>30</v>
      </c>
      <c r="F1413" s="3" t="s">
        <v>57</v>
      </c>
      <c r="G1413" s="3">
        <v>2016</v>
      </c>
      <c r="H1413" s="3" t="str">
        <f>CONCATENATE("64240921490")</f>
        <v>64240921490</v>
      </c>
      <c r="I1413" s="3" t="s">
        <v>25</v>
      </c>
      <c r="J1413" s="3" t="s">
        <v>26</v>
      </c>
      <c r="K1413" s="3" t="str">
        <f t="shared" si="45"/>
        <v/>
      </c>
      <c r="L1413" s="3" t="str">
        <f t="shared" si="46"/>
        <v>11 11.2 4b</v>
      </c>
      <c r="M1413" s="3" t="str">
        <f>CONCATENATE("01593570433")</f>
        <v>01593570433</v>
      </c>
      <c r="N1413" s="3" t="s">
        <v>1468</v>
      </c>
      <c r="O1413" s="3"/>
      <c r="P1413" s="4">
        <v>42783</v>
      </c>
      <c r="Q1413" s="3" t="s">
        <v>27</v>
      </c>
      <c r="R1413" s="3" t="s">
        <v>28</v>
      </c>
      <c r="S1413" s="3" t="s">
        <v>29</v>
      </c>
      <c r="T1413" s="5">
        <v>9755.9599999999991</v>
      </c>
      <c r="U1413" s="5">
        <v>4206.7700000000004</v>
      </c>
      <c r="V1413" s="5">
        <v>3884.82</v>
      </c>
      <c r="W1413" s="5">
        <v>1664.37</v>
      </c>
    </row>
    <row r="1414" spans="1:23" ht="36.75">
      <c r="A1414" s="3" t="s">
        <v>23</v>
      </c>
      <c r="B1414" s="3" t="s">
        <v>24</v>
      </c>
      <c r="C1414" s="3" t="s">
        <v>35</v>
      </c>
      <c r="D1414" s="3" t="s">
        <v>39</v>
      </c>
      <c r="E1414" s="3" t="s">
        <v>30</v>
      </c>
      <c r="F1414" s="3" t="s">
        <v>72</v>
      </c>
      <c r="G1414" s="3">
        <v>2016</v>
      </c>
      <c r="H1414" s="3" t="str">
        <f>CONCATENATE("64240663613")</f>
        <v>64240663613</v>
      </c>
      <c r="I1414" s="3" t="s">
        <v>31</v>
      </c>
      <c r="J1414" s="3" t="s">
        <v>26</v>
      </c>
      <c r="K1414" s="3" t="str">
        <f t="shared" si="45"/>
        <v/>
      </c>
      <c r="L1414" s="3" t="str">
        <f t="shared" si="46"/>
        <v>11 11.2 4b</v>
      </c>
      <c r="M1414" s="3" t="str">
        <f>CONCATENATE("00758850424")</f>
        <v>00758850424</v>
      </c>
      <c r="N1414" s="3" t="s">
        <v>1469</v>
      </c>
      <c r="O1414" s="3"/>
      <c r="P1414" s="4">
        <v>42783</v>
      </c>
      <c r="Q1414" s="3" t="s">
        <v>27</v>
      </c>
      <c r="R1414" s="3" t="s">
        <v>28</v>
      </c>
      <c r="S1414" s="3" t="s">
        <v>29</v>
      </c>
      <c r="T1414" s="5">
        <v>2881.52</v>
      </c>
      <c r="U1414" s="5">
        <v>1242.51</v>
      </c>
      <c r="V1414" s="5">
        <v>1147.42</v>
      </c>
      <c r="W1414" s="3">
        <v>491.59</v>
      </c>
    </row>
    <row r="1415" spans="1:23" ht="60.75">
      <c r="A1415" s="3" t="s">
        <v>23</v>
      </c>
      <c r="B1415" s="3" t="s">
        <v>24</v>
      </c>
      <c r="C1415" s="3" t="s">
        <v>35</v>
      </c>
      <c r="D1415" s="3" t="s">
        <v>43</v>
      </c>
      <c r="E1415" s="3" t="s">
        <v>30</v>
      </c>
      <c r="F1415" s="3" t="s">
        <v>199</v>
      </c>
      <c r="G1415" s="3">
        <v>2016</v>
      </c>
      <c r="H1415" s="3" t="str">
        <f>CONCATENATE("64240749883")</f>
        <v>64240749883</v>
      </c>
      <c r="I1415" s="3" t="s">
        <v>25</v>
      </c>
      <c r="J1415" s="3" t="s">
        <v>26</v>
      </c>
      <c r="K1415" s="3" t="str">
        <f t="shared" si="45"/>
        <v/>
      </c>
      <c r="L1415" s="3" t="str">
        <f t="shared" si="46"/>
        <v>11 11.2 4b</v>
      </c>
      <c r="M1415" s="3" t="str">
        <f>CONCATENATE("PCAPLA55R01F310N")</f>
        <v>PCAPLA55R01F310N</v>
      </c>
      <c r="N1415" s="3" t="s">
        <v>863</v>
      </c>
      <c r="O1415" s="3"/>
      <c r="P1415" s="4">
        <v>42783</v>
      </c>
      <c r="Q1415" s="3" t="s">
        <v>27</v>
      </c>
      <c r="R1415" s="3" t="s">
        <v>28</v>
      </c>
      <c r="S1415" s="3" t="s">
        <v>29</v>
      </c>
      <c r="T1415" s="5">
        <v>10189.219999999999</v>
      </c>
      <c r="U1415" s="5">
        <v>4393.59</v>
      </c>
      <c r="V1415" s="5">
        <v>4057.35</v>
      </c>
      <c r="W1415" s="5">
        <v>1738.28</v>
      </c>
    </row>
    <row r="1416" spans="1:23" ht="36.75">
      <c r="A1416" s="3" t="s">
        <v>23</v>
      </c>
      <c r="B1416" s="3" t="s">
        <v>24</v>
      </c>
      <c r="C1416" s="3" t="s">
        <v>35</v>
      </c>
      <c r="D1416" s="3" t="s">
        <v>39</v>
      </c>
      <c r="E1416" s="3" t="s">
        <v>32</v>
      </c>
      <c r="F1416" s="3" t="s">
        <v>117</v>
      </c>
      <c r="G1416" s="3">
        <v>2016</v>
      </c>
      <c r="H1416" s="3" t="str">
        <f>CONCATENATE("64240485553")</f>
        <v>64240485553</v>
      </c>
      <c r="I1416" s="3" t="s">
        <v>25</v>
      </c>
      <c r="J1416" s="3" t="s">
        <v>26</v>
      </c>
      <c r="K1416" s="3" t="str">
        <f t="shared" si="45"/>
        <v/>
      </c>
      <c r="L1416" s="3" t="str">
        <f t="shared" si="46"/>
        <v>11 11.2 4b</v>
      </c>
      <c r="M1416" s="3" t="str">
        <f>CONCATENATE("02470380425")</f>
        <v>02470380425</v>
      </c>
      <c r="N1416" s="3" t="s">
        <v>1470</v>
      </c>
      <c r="O1416" s="3"/>
      <c r="P1416" s="4">
        <v>42783</v>
      </c>
      <c r="Q1416" s="3" t="s">
        <v>27</v>
      </c>
      <c r="R1416" s="3" t="s">
        <v>28</v>
      </c>
      <c r="S1416" s="3" t="s">
        <v>29</v>
      </c>
      <c r="T1416" s="5">
        <v>2806.03</v>
      </c>
      <c r="U1416" s="5">
        <v>1209.96</v>
      </c>
      <c r="V1416" s="5">
        <v>1117.3599999999999</v>
      </c>
      <c r="W1416" s="3">
        <v>478.71</v>
      </c>
    </row>
    <row r="1417" spans="1:23" ht="60.75">
      <c r="A1417" s="3" t="s">
        <v>23</v>
      </c>
      <c r="B1417" s="3" t="s">
        <v>24</v>
      </c>
      <c r="C1417" s="3" t="s">
        <v>35</v>
      </c>
      <c r="D1417" s="3" t="s">
        <v>36</v>
      </c>
      <c r="E1417" s="3" t="s">
        <v>33</v>
      </c>
      <c r="F1417" s="3" t="s">
        <v>89</v>
      </c>
      <c r="G1417" s="3">
        <v>2016</v>
      </c>
      <c r="H1417" s="3" t="str">
        <f>CONCATENATE("64210899163")</f>
        <v>64210899163</v>
      </c>
      <c r="I1417" s="3" t="s">
        <v>25</v>
      </c>
      <c r="J1417" s="3" t="s">
        <v>26</v>
      </c>
      <c r="K1417" s="3" t="str">
        <f t="shared" si="45"/>
        <v/>
      </c>
      <c r="L1417" s="3" t="str">
        <f>CONCATENATE("13 13.1 4a")</f>
        <v>13 13.1 4a</v>
      </c>
      <c r="M1417" s="3" t="str">
        <f>CONCATENATE("CNTVCN49B06H390Y")</f>
        <v>CNTVCN49B06H390Y</v>
      </c>
      <c r="N1417" s="3" t="s">
        <v>1471</v>
      </c>
      <c r="O1417" s="3"/>
      <c r="P1417" s="4">
        <v>42783</v>
      </c>
      <c r="Q1417" s="3" t="s">
        <v>27</v>
      </c>
      <c r="R1417" s="3" t="s">
        <v>28</v>
      </c>
      <c r="S1417" s="3" t="s">
        <v>29</v>
      </c>
      <c r="T1417" s="3">
        <v>788.99</v>
      </c>
      <c r="U1417" s="3">
        <v>340.21</v>
      </c>
      <c r="V1417" s="3">
        <v>314.18</v>
      </c>
      <c r="W1417" s="3">
        <v>134.6</v>
      </c>
    </row>
    <row r="1418" spans="1:23" ht="36.75">
      <c r="A1418" s="3" t="s">
        <v>23</v>
      </c>
      <c r="B1418" s="3" t="s">
        <v>24</v>
      </c>
      <c r="C1418" s="3" t="s">
        <v>35</v>
      </c>
      <c r="D1418" s="3" t="s">
        <v>43</v>
      </c>
      <c r="E1418" s="3" t="s">
        <v>30</v>
      </c>
      <c r="F1418" s="3" t="s">
        <v>76</v>
      </c>
      <c r="G1418" s="3">
        <v>2016</v>
      </c>
      <c r="H1418" s="3" t="str">
        <f>CONCATENATE("64240203139")</f>
        <v>64240203139</v>
      </c>
      <c r="I1418" s="3" t="s">
        <v>25</v>
      </c>
      <c r="J1418" s="3" t="s">
        <v>26</v>
      </c>
      <c r="K1418" s="3" t="str">
        <f t="shared" si="45"/>
        <v/>
      </c>
      <c r="L1418" s="3" t="str">
        <f>CONCATENATE("11 11.2 4b")</f>
        <v>11 11.2 4b</v>
      </c>
      <c r="M1418" s="3" t="str">
        <f>CONCATENATE("00409290418")</f>
        <v>00409290418</v>
      </c>
      <c r="N1418" s="3" t="s">
        <v>1472</v>
      </c>
      <c r="O1418" s="3"/>
      <c r="P1418" s="4">
        <v>42783</v>
      </c>
      <c r="Q1418" s="3" t="s">
        <v>27</v>
      </c>
      <c r="R1418" s="3" t="s">
        <v>28</v>
      </c>
      <c r="S1418" s="3" t="s">
        <v>29</v>
      </c>
      <c r="T1418" s="5">
        <v>22205</v>
      </c>
      <c r="U1418" s="5">
        <v>9574.7999999999993</v>
      </c>
      <c r="V1418" s="5">
        <v>8842.0300000000007</v>
      </c>
      <c r="W1418" s="5">
        <v>3788.17</v>
      </c>
    </row>
    <row r="1419" spans="1:23" ht="36.75">
      <c r="A1419" s="3" t="s">
        <v>23</v>
      </c>
      <c r="B1419" s="3" t="s">
        <v>24</v>
      </c>
      <c r="C1419" s="3" t="s">
        <v>35</v>
      </c>
      <c r="D1419" s="3" t="s">
        <v>43</v>
      </c>
      <c r="E1419" s="3" t="s">
        <v>30</v>
      </c>
      <c r="F1419" s="3" t="s">
        <v>76</v>
      </c>
      <c r="G1419" s="3">
        <v>2016</v>
      </c>
      <c r="H1419" s="3" t="str">
        <f>CONCATENATE("64240249330")</f>
        <v>64240249330</v>
      </c>
      <c r="I1419" s="3" t="s">
        <v>25</v>
      </c>
      <c r="J1419" s="3" t="s">
        <v>26</v>
      </c>
      <c r="K1419" s="3" t="str">
        <f t="shared" si="45"/>
        <v/>
      </c>
      <c r="L1419" s="3" t="str">
        <f>CONCATENATE("11 11.2 4b")</f>
        <v>11 11.2 4b</v>
      </c>
      <c r="M1419" s="3" t="str">
        <f>CONCATENATE("01385210412")</f>
        <v>01385210412</v>
      </c>
      <c r="N1419" s="3" t="s">
        <v>1473</v>
      </c>
      <c r="O1419" s="3"/>
      <c r="P1419" s="4">
        <v>42783</v>
      </c>
      <c r="Q1419" s="3" t="s">
        <v>27</v>
      </c>
      <c r="R1419" s="3" t="s">
        <v>28</v>
      </c>
      <c r="S1419" s="3" t="s">
        <v>29</v>
      </c>
      <c r="T1419" s="5">
        <v>15166.2</v>
      </c>
      <c r="U1419" s="5">
        <v>6539.67</v>
      </c>
      <c r="V1419" s="5">
        <v>6039.18</v>
      </c>
      <c r="W1419" s="5">
        <v>2587.35</v>
      </c>
    </row>
    <row r="1420" spans="1:23" ht="60.75">
      <c r="A1420" s="3" t="s">
        <v>23</v>
      </c>
      <c r="B1420" s="3" t="s">
        <v>24</v>
      </c>
      <c r="C1420" s="3" t="s">
        <v>35</v>
      </c>
      <c r="D1420" s="3" t="s">
        <v>36</v>
      </c>
      <c r="E1420" s="3" t="s">
        <v>33</v>
      </c>
      <c r="F1420" s="3" t="s">
        <v>360</v>
      </c>
      <c r="G1420" s="3">
        <v>2016</v>
      </c>
      <c r="H1420" s="3" t="str">
        <f>CONCATENATE("64240447462")</f>
        <v>64240447462</v>
      </c>
      <c r="I1420" s="3" t="s">
        <v>25</v>
      </c>
      <c r="J1420" s="3" t="s">
        <v>26</v>
      </c>
      <c r="K1420" s="3" t="str">
        <f t="shared" si="45"/>
        <v/>
      </c>
      <c r="L1420" s="3" t="str">
        <f>CONCATENATE("10 10.1 4b")</f>
        <v>10 10.1 4b</v>
      </c>
      <c r="M1420" s="3" t="str">
        <f>CONCATENATE("VGNTMS73E25G516O")</f>
        <v>VGNTMS73E25G516O</v>
      </c>
      <c r="N1420" s="3" t="s">
        <v>1474</v>
      </c>
      <c r="O1420" s="3"/>
      <c r="P1420" s="4">
        <v>42783</v>
      </c>
      <c r="Q1420" s="3" t="s">
        <v>27</v>
      </c>
      <c r="R1420" s="3" t="s">
        <v>28</v>
      </c>
      <c r="S1420" s="3" t="s">
        <v>29</v>
      </c>
      <c r="T1420" s="5">
        <v>2506.58</v>
      </c>
      <c r="U1420" s="5">
        <v>1080.8399999999999</v>
      </c>
      <c r="V1420" s="3">
        <v>998.12</v>
      </c>
      <c r="W1420" s="3">
        <v>427.62</v>
      </c>
    </row>
    <row r="1421" spans="1:23" ht="60.75">
      <c r="A1421" s="3" t="s">
        <v>23</v>
      </c>
      <c r="B1421" s="3" t="s">
        <v>24</v>
      </c>
      <c r="C1421" s="3" t="s">
        <v>35</v>
      </c>
      <c r="D1421" s="3" t="s">
        <v>48</v>
      </c>
      <c r="E1421" s="3" t="s">
        <v>32</v>
      </c>
      <c r="F1421" s="3" t="s">
        <v>129</v>
      </c>
      <c r="G1421" s="3">
        <v>2016</v>
      </c>
      <c r="H1421" s="3" t="str">
        <f>CONCATENATE("64240666376")</f>
        <v>64240666376</v>
      </c>
      <c r="I1421" s="3" t="s">
        <v>25</v>
      </c>
      <c r="J1421" s="3" t="s">
        <v>26</v>
      </c>
      <c r="K1421" s="3" t="str">
        <f t="shared" si="45"/>
        <v/>
      </c>
      <c r="L1421" s="3" t="str">
        <f>CONCATENATE("11 11.2 4b")</f>
        <v>11 11.2 4b</v>
      </c>
      <c r="M1421" s="3" t="str">
        <f>CONCATENATE("MSCFST76H30B474R")</f>
        <v>MSCFST76H30B474R</v>
      </c>
      <c r="N1421" s="3" t="s">
        <v>1475</v>
      </c>
      <c r="O1421" s="3"/>
      <c r="P1421" s="4">
        <v>42783</v>
      </c>
      <c r="Q1421" s="3" t="s">
        <v>27</v>
      </c>
      <c r="R1421" s="3" t="s">
        <v>28</v>
      </c>
      <c r="S1421" s="3" t="s">
        <v>29</v>
      </c>
      <c r="T1421" s="5">
        <v>25365.65</v>
      </c>
      <c r="U1421" s="5">
        <v>10937.67</v>
      </c>
      <c r="V1421" s="5">
        <v>10100.6</v>
      </c>
      <c r="W1421" s="5">
        <v>4327.38</v>
      </c>
    </row>
    <row r="1422" spans="1:23" ht="72.75">
      <c r="A1422" s="3" t="s">
        <v>23</v>
      </c>
      <c r="B1422" s="3" t="s">
        <v>24</v>
      </c>
      <c r="C1422" s="3" t="s">
        <v>35</v>
      </c>
      <c r="D1422" s="3" t="s">
        <v>48</v>
      </c>
      <c r="E1422" s="3" t="s">
        <v>30</v>
      </c>
      <c r="F1422" s="3" t="s">
        <v>91</v>
      </c>
      <c r="G1422" s="3">
        <v>2016</v>
      </c>
      <c r="H1422" s="3" t="str">
        <f>CONCATENATE("64240315511")</f>
        <v>64240315511</v>
      </c>
      <c r="I1422" s="3" t="s">
        <v>25</v>
      </c>
      <c r="J1422" s="3" t="s">
        <v>26</v>
      </c>
      <c r="K1422" s="3" t="str">
        <f t="shared" si="45"/>
        <v/>
      </c>
      <c r="L1422" s="3" t="str">
        <f>CONCATENATE("11 11.2 4b")</f>
        <v>11 11.2 4b</v>
      </c>
      <c r="M1422" s="3" t="str">
        <f>CONCATENATE("CRRLGU66B11D628H")</f>
        <v>CRRLGU66B11D628H</v>
      </c>
      <c r="N1422" s="3" t="s">
        <v>1476</v>
      </c>
      <c r="O1422" s="3"/>
      <c r="P1422" s="4">
        <v>42783</v>
      </c>
      <c r="Q1422" s="3" t="s">
        <v>27</v>
      </c>
      <c r="R1422" s="3" t="s">
        <v>28</v>
      </c>
      <c r="S1422" s="3" t="s">
        <v>29</v>
      </c>
      <c r="T1422" s="5">
        <v>17094.23</v>
      </c>
      <c r="U1422" s="5">
        <v>7371.03</v>
      </c>
      <c r="V1422" s="5">
        <v>6806.92</v>
      </c>
      <c r="W1422" s="5">
        <v>2916.28</v>
      </c>
    </row>
    <row r="1423" spans="1:23" ht="60.75">
      <c r="A1423" s="3" t="s">
        <v>23</v>
      </c>
      <c r="B1423" s="3" t="s">
        <v>24</v>
      </c>
      <c r="C1423" s="3" t="s">
        <v>35</v>
      </c>
      <c r="D1423" s="3" t="s">
        <v>48</v>
      </c>
      <c r="E1423" s="3" t="s">
        <v>32</v>
      </c>
      <c r="F1423" s="3" t="s">
        <v>129</v>
      </c>
      <c r="G1423" s="3">
        <v>2016</v>
      </c>
      <c r="H1423" s="3" t="str">
        <f>CONCATENATE("64210872681")</f>
        <v>64210872681</v>
      </c>
      <c r="I1423" s="3" t="s">
        <v>25</v>
      </c>
      <c r="J1423" s="3" t="s">
        <v>26</v>
      </c>
      <c r="K1423" s="3" t="str">
        <f t="shared" si="45"/>
        <v/>
      </c>
      <c r="L1423" s="3" t="str">
        <f>CONCATENATE("13 13.1 4a")</f>
        <v>13 13.1 4a</v>
      </c>
      <c r="M1423" s="3" t="str">
        <f>CONCATENATE("MSCFST76H30B474R")</f>
        <v>MSCFST76H30B474R</v>
      </c>
      <c r="N1423" s="3" t="s">
        <v>1475</v>
      </c>
      <c r="O1423" s="3"/>
      <c r="P1423" s="4">
        <v>42783</v>
      </c>
      <c r="Q1423" s="3" t="s">
        <v>27</v>
      </c>
      <c r="R1423" s="3" t="s">
        <v>28</v>
      </c>
      <c r="S1423" s="3" t="s">
        <v>29</v>
      </c>
      <c r="T1423" s="5">
        <v>4590</v>
      </c>
      <c r="U1423" s="5">
        <v>1979.21</v>
      </c>
      <c r="V1423" s="5">
        <v>1827.74</v>
      </c>
      <c r="W1423" s="3">
        <v>783.05</v>
      </c>
    </row>
    <row r="1424" spans="1:23" ht="60.75">
      <c r="A1424" s="3" t="s">
        <v>23</v>
      </c>
      <c r="B1424" s="3" t="s">
        <v>24</v>
      </c>
      <c r="C1424" s="3" t="s">
        <v>35</v>
      </c>
      <c r="D1424" s="3" t="s">
        <v>39</v>
      </c>
      <c r="E1424" s="3" t="s">
        <v>30</v>
      </c>
      <c r="F1424" s="3" t="s">
        <v>84</v>
      </c>
      <c r="G1424" s="3">
        <v>2016</v>
      </c>
      <c r="H1424" s="3" t="str">
        <f>CONCATENATE("64210359549")</f>
        <v>64210359549</v>
      </c>
      <c r="I1424" s="3" t="s">
        <v>25</v>
      </c>
      <c r="J1424" s="3" t="s">
        <v>26</v>
      </c>
      <c r="K1424" s="3" t="str">
        <f t="shared" si="45"/>
        <v/>
      </c>
      <c r="L1424" s="3" t="str">
        <f>CONCATENATE("13 13.1 4a")</f>
        <v>13 13.1 4a</v>
      </c>
      <c r="M1424" s="3" t="str">
        <f>CONCATENATE("LNCLEI50T18D965K")</f>
        <v>LNCLEI50T18D965K</v>
      </c>
      <c r="N1424" s="3" t="s">
        <v>1477</v>
      </c>
      <c r="O1424" s="3"/>
      <c r="P1424" s="4">
        <v>42783</v>
      </c>
      <c r="Q1424" s="3" t="s">
        <v>27</v>
      </c>
      <c r="R1424" s="3" t="s">
        <v>28</v>
      </c>
      <c r="S1424" s="3" t="s">
        <v>29</v>
      </c>
      <c r="T1424" s="5">
        <v>2055.0500000000002</v>
      </c>
      <c r="U1424" s="3">
        <v>886.14</v>
      </c>
      <c r="V1424" s="3">
        <v>818.32</v>
      </c>
      <c r="W1424" s="3">
        <v>350.59</v>
      </c>
    </row>
    <row r="1425" spans="1:23" ht="60.75">
      <c r="A1425" s="3" t="s">
        <v>23</v>
      </c>
      <c r="B1425" s="3" t="s">
        <v>24</v>
      </c>
      <c r="C1425" s="3" t="s">
        <v>35</v>
      </c>
      <c r="D1425" s="3" t="s">
        <v>39</v>
      </c>
      <c r="E1425" s="3" t="s">
        <v>30</v>
      </c>
      <c r="F1425" s="3" t="s">
        <v>84</v>
      </c>
      <c r="G1425" s="3">
        <v>2016</v>
      </c>
      <c r="H1425" s="3" t="str">
        <f>CONCATENATE("64240701496")</f>
        <v>64240701496</v>
      </c>
      <c r="I1425" s="3" t="s">
        <v>25</v>
      </c>
      <c r="J1425" s="3" t="s">
        <v>26</v>
      </c>
      <c r="K1425" s="3" t="str">
        <f t="shared" si="45"/>
        <v/>
      </c>
      <c r="L1425" s="3" t="str">
        <f>CONCATENATE("11 11.2 4b")</f>
        <v>11 11.2 4b</v>
      </c>
      <c r="M1425" s="3" t="str">
        <f>CONCATENATE("STRRNZ60S18D451J")</f>
        <v>STRRNZ60S18D451J</v>
      </c>
      <c r="N1425" s="3" t="s">
        <v>1478</v>
      </c>
      <c r="O1425" s="3"/>
      <c r="P1425" s="4">
        <v>42783</v>
      </c>
      <c r="Q1425" s="3" t="s">
        <v>27</v>
      </c>
      <c r="R1425" s="3" t="s">
        <v>28</v>
      </c>
      <c r="S1425" s="3" t="s">
        <v>29</v>
      </c>
      <c r="T1425" s="5">
        <v>5312.69</v>
      </c>
      <c r="U1425" s="5">
        <v>2290.83</v>
      </c>
      <c r="V1425" s="5">
        <v>2115.5100000000002</v>
      </c>
      <c r="W1425" s="3">
        <v>906.35</v>
      </c>
    </row>
    <row r="1426" spans="1:23" ht="60.75">
      <c r="A1426" s="3" t="s">
        <v>23</v>
      </c>
      <c r="B1426" s="3" t="s">
        <v>24</v>
      </c>
      <c r="C1426" s="3" t="s">
        <v>35</v>
      </c>
      <c r="D1426" s="3" t="s">
        <v>36</v>
      </c>
      <c r="E1426" s="3" t="s">
        <v>30</v>
      </c>
      <c r="F1426" s="3" t="s">
        <v>37</v>
      </c>
      <c r="G1426" s="3">
        <v>2016</v>
      </c>
      <c r="H1426" s="3" t="str">
        <f>CONCATENATE("64240885661")</f>
        <v>64240885661</v>
      </c>
      <c r="I1426" s="3" t="s">
        <v>25</v>
      </c>
      <c r="J1426" s="3" t="s">
        <v>26</v>
      </c>
      <c r="K1426" s="3" t="str">
        <f t="shared" si="45"/>
        <v/>
      </c>
      <c r="L1426" s="3" t="str">
        <f>CONCATENATE("10 10.1 4a")</f>
        <v>10 10.1 4a</v>
      </c>
      <c r="M1426" s="3" t="str">
        <f>CONCATENATE("GLLSFN78C14A462E")</f>
        <v>GLLSFN78C14A462E</v>
      </c>
      <c r="N1426" s="3" t="s">
        <v>1479</v>
      </c>
      <c r="O1426" s="3"/>
      <c r="P1426" s="4">
        <v>42783</v>
      </c>
      <c r="Q1426" s="3" t="s">
        <v>27</v>
      </c>
      <c r="R1426" s="3" t="s">
        <v>28</v>
      </c>
      <c r="S1426" s="3" t="s">
        <v>29</v>
      </c>
      <c r="T1426" s="3">
        <v>560.44000000000005</v>
      </c>
      <c r="U1426" s="3">
        <v>241.66</v>
      </c>
      <c r="V1426" s="3">
        <v>223.17</v>
      </c>
      <c r="W1426" s="3">
        <v>95.61</v>
      </c>
    </row>
    <row r="1427" spans="1:23" ht="60.75">
      <c r="A1427" s="3" t="s">
        <v>23</v>
      </c>
      <c r="B1427" s="3" t="s">
        <v>24</v>
      </c>
      <c r="C1427" s="3" t="s">
        <v>35</v>
      </c>
      <c r="D1427" s="3" t="s">
        <v>43</v>
      </c>
      <c r="E1427" s="3" t="s">
        <v>42</v>
      </c>
      <c r="F1427" s="3" t="s">
        <v>42</v>
      </c>
      <c r="G1427" s="3">
        <v>2016</v>
      </c>
      <c r="H1427" s="3" t="str">
        <f>CONCATENATE("64240266086")</f>
        <v>64240266086</v>
      </c>
      <c r="I1427" s="3" t="s">
        <v>25</v>
      </c>
      <c r="J1427" s="3" t="s">
        <v>26</v>
      </c>
      <c r="K1427" s="3" t="str">
        <f t="shared" si="45"/>
        <v/>
      </c>
      <c r="L1427" s="3" t="str">
        <f>CONCATENATE("11 11.2 4b")</f>
        <v>11 11.2 4b</v>
      </c>
      <c r="M1427" s="3" t="str">
        <f>CONCATENATE("LRGGNN54P26G551G")</f>
        <v>LRGGNN54P26G551G</v>
      </c>
      <c r="N1427" s="3" t="s">
        <v>1480</v>
      </c>
      <c r="O1427" s="3"/>
      <c r="P1427" s="4">
        <v>42783</v>
      </c>
      <c r="Q1427" s="3" t="s">
        <v>27</v>
      </c>
      <c r="R1427" s="3" t="s">
        <v>28</v>
      </c>
      <c r="S1427" s="3" t="s">
        <v>29</v>
      </c>
      <c r="T1427" s="5">
        <v>2523.27</v>
      </c>
      <c r="U1427" s="5">
        <v>1088.03</v>
      </c>
      <c r="V1427" s="5">
        <v>1004.77</v>
      </c>
      <c r="W1427" s="3">
        <v>430.47</v>
      </c>
    </row>
    <row r="1428" spans="1:23" ht="36.75">
      <c r="A1428" s="3" t="s">
        <v>23</v>
      </c>
      <c r="B1428" s="3" t="s">
        <v>24</v>
      </c>
      <c r="C1428" s="3" t="s">
        <v>35</v>
      </c>
      <c r="D1428" s="3" t="s">
        <v>43</v>
      </c>
      <c r="E1428" s="3" t="s">
        <v>49</v>
      </c>
      <c r="F1428" s="3" t="s">
        <v>139</v>
      </c>
      <c r="G1428" s="3">
        <v>2016</v>
      </c>
      <c r="H1428" s="3" t="str">
        <f>CONCATENATE("64240352282")</f>
        <v>64240352282</v>
      </c>
      <c r="I1428" s="3" t="s">
        <v>25</v>
      </c>
      <c r="J1428" s="3" t="s">
        <v>26</v>
      </c>
      <c r="K1428" s="3" t="str">
        <f t="shared" si="45"/>
        <v/>
      </c>
      <c r="L1428" s="3" t="str">
        <f>CONCATENATE("11 11.2 4b")</f>
        <v>11 11.2 4b</v>
      </c>
      <c r="M1428" s="3" t="str">
        <f>CONCATENATE("02351650417")</f>
        <v>02351650417</v>
      </c>
      <c r="N1428" s="3" t="s">
        <v>1481</v>
      </c>
      <c r="O1428" s="3"/>
      <c r="P1428" s="4">
        <v>42783</v>
      </c>
      <c r="Q1428" s="3" t="s">
        <v>27</v>
      </c>
      <c r="R1428" s="3" t="s">
        <v>28</v>
      </c>
      <c r="S1428" s="3" t="s">
        <v>29</v>
      </c>
      <c r="T1428" s="5">
        <v>4762.1499999999996</v>
      </c>
      <c r="U1428" s="5">
        <v>2053.44</v>
      </c>
      <c r="V1428" s="5">
        <v>1896.29</v>
      </c>
      <c r="W1428" s="3">
        <v>812.42</v>
      </c>
    </row>
    <row r="1429" spans="1:23" ht="36.75">
      <c r="A1429" s="3" t="s">
        <v>23</v>
      </c>
      <c r="B1429" s="3" t="s">
        <v>24</v>
      </c>
      <c r="C1429" s="3" t="s">
        <v>35</v>
      </c>
      <c r="D1429" s="3" t="s">
        <v>39</v>
      </c>
      <c r="E1429" s="3" t="s">
        <v>32</v>
      </c>
      <c r="F1429" s="3" t="s">
        <v>215</v>
      </c>
      <c r="G1429" s="3">
        <v>2016</v>
      </c>
      <c r="H1429" s="3" t="str">
        <f>CONCATENATE("64240216685")</f>
        <v>64240216685</v>
      </c>
      <c r="I1429" s="3" t="s">
        <v>25</v>
      </c>
      <c r="J1429" s="3" t="s">
        <v>26</v>
      </c>
      <c r="K1429" s="3" t="str">
        <f t="shared" si="45"/>
        <v/>
      </c>
      <c r="L1429" s="3" t="str">
        <f>CONCATENATE("11 11.1 4b")</f>
        <v>11 11.1 4b</v>
      </c>
      <c r="M1429" s="3" t="str">
        <f>CONCATENATE("02707530420")</f>
        <v>02707530420</v>
      </c>
      <c r="N1429" s="3" t="s">
        <v>1482</v>
      </c>
      <c r="O1429" s="3"/>
      <c r="P1429" s="4">
        <v>42783</v>
      </c>
      <c r="Q1429" s="3" t="s">
        <v>27</v>
      </c>
      <c r="R1429" s="3" t="s">
        <v>28</v>
      </c>
      <c r="S1429" s="3" t="s">
        <v>29</v>
      </c>
      <c r="T1429" s="5">
        <v>4458.1099999999997</v>
      </c>
      <c r="U1429" s="5">
        <v>1922.34</v>
      </c>
      <c r="V1429" s="5">
        <v>1775.22</v>
      </c>
      <c r="W1429" s="3">
        <v>760.55</v>
      </c>
    </row>
    <row r="1430" spans="1:23" ht="60.75">
      <c r="A1430" s="3" t="s">
        <v>23</v>
      </c>
      <c r="B1430" s="3" t="s">
        <v>24</v>
      </c>
      <c r="C1430" s="3" t="s">
        <v>35</v>
      </c>
      <c r="D1430" s="3" t="s">
        <v>43</v>
      </c>
      <c r="E1430" s="3" t="s">
        <v>30</v>
      </c>
      <c r="F1430" s="3" t="s">
        <v>104</v>
      </c>
      <c r="G1430" s="3">
        <v>2016</v>
      </c>
      <c r="H1430" s="3" t="str">
        <f>CONCATENATE("64240217675")</f>
        <v>64240217675</v>
      </c>
      <c r="I1430" s="3" t="s">
        <v>25</v>
      </c>
      <c r="J1430" s="3" t="s">
        <v>26</v>
      </c>
      <c r="K1430" s="3" t="str">
        <f t="shared" si="45"/>
        <v/>
      </c>
      <c r="L1430" s="3" t="str">
        <f>CONCATENATE("11 11.2 4b")</f>
        <v>11 11.2 4b</v>
      </c>
      <c r="M1430" s="3" t="str">
        <f>CONCATENATE("TRCMRA58M43L500B")</f>
        <v>TRCMRA58M43L500B</v>
      </c>
      <c r="N1430" s="3" t="s">
        <v>1483</v>
      </c>
      <c r="O1430" s="3"/>
      <c r="P1430" s="4">
        <v>42783</v>
      </c>
      <c r="Q1430" s="3" t="s">
        <v>27</v>
      </c>
      <c r="R1430" s="3" t="s">
        <v>28</v>
      </c>
      <c r="S1430" s="3" t="s">
        <v>29</v>
      </c>
      <c r="T1430" s="5">
        <v>2510.44</v>
      </c>
      <c r="U1430" s="5">
        <v>1082.5</v>
      </c>
      <c r="V1430" s="3">
        <v>999.66</v>
      </c>
      <c r="W1430" s="3">
        <v>428.28</v>
      </c>
    </row>
    <row r="1431" spans="1:23" ht="36.75">
      <c r="A1431" s="3" t="s">
        <v>23</v>
      </c>
      <c r="B1431" s="3" t="s">
        <v>24</v>
      </c>
      <c r="C1431" s="3" t="s">
        <v>35</v>
      </c>
      <c r="D1431" s="3" t="s">
        <v>48</v>
      </c>
      <c r="E1431" s="3" t="s">
        <v>49</v>
      </c>
      <c r="F1431" s="3" t="s">
        <v>50</v>
      </c>
      <c r="G1431" s="3">
        <v>2016</v>
      </c>
      <c r="H1431" s="3" t="str">
        <f>CONCATENATE("64240826194")</f>
        <v>64240826194</v>
      </c>
      <c r="I1431" s="3" t="s">
        <v>25</v>
      </c>
      <c r="J1431" s="3" t="s">
        <v>26</v>
      </c>
      <c r="K1431" s="3" t="str">
        <f t="shared" si="45"/>
        <v/>
      </c>
      <c r="L1431" s="3" t="str">
        <f>CONCATENATE("11 11.1 4b")</f>
        <v>11 11.1 4b</v>
      </c>
      <c r="M1431" s="3" t="str">
        <f>CONCATENATE("01914370430")</f>
        <v>01914370430</v>
      </c>
      <c r="N1431" s="3" t="s">
        <v>1484</v>
      </c>
      <c r="O1431" s="3"/>
      <c r="P1431" s="4">
        <v>42783</v>
      </c>
      <c r="Q1431" s="3" t="s">
        <v>27</v>
      </c>
      <c r="R1431" s="3" t="s">
        <v>28</v>
      </c>
      <c r="S1431" s="3" t="s">
        <v>29</v>
      </c>
      <c r="T1431" s="5">
        <v>2017.16</v>
      </c>
      <c r="U1431" s="3">
        <v>869.8</v>
      </c>
      <c r="V1431" s="3">
        <v>803.23</v>
      </c>
      <c r="W1431" s="3">
        <v>344.13</v>
      </c>
    </row>
    <row r="1432" spans="1:23" ht="36.75">
      <c r="A1432" s="3" t="s">
        <v>23</v>
      </c>
      <c r="B1432" s="3" t="s">
        <v>24</v>
      </c>
      <c r="C1432" s="3" t="s">
        <v>35</v>
      </c>
      <c r="D1432" s="3" t="s">
        <v>43</v>
      </c>
      <c r="E1432" s="3" t="s">
        <v>32</v>
      </c>
      <c r="F1432" s="3" t="s">
        <v>78</v>
      </c>
      <c r="G1432" s="3">
        <v>2016</v>
      </c>
      <c r="H1432" s="3" t="str">
        <f>CONCATENATE("64240511671")</f>
        <v>64240511671</v>
      </c>
      <c r="I1432" s="3" t="s">
        <v>25</v>
      </c>
      <c r="J1432" s="3" t="s">
        <v>26</v>
      </c>
      <c r="K1432" s="3" t="str">
        <f t="shared" si="45"/>
        <v/>
      </c>
      <c r="L1432" s="3" t="str">
        <f>CONCATENATE("11 11.2 4b")</f>
        <v>11 11.2 4b</v>
      </c>
      <c r="M1432" s="3" t="str">
        <f>CONCATENATE("02508110414")</f>
        <v>02508110414</v>
      </c>
      <c r="N1432" s="3" t="s">
        <v>1485</v>
      </c>
      <c r="O1432" s="3"/>
      <c r="P1432" s="4">
        <v>42783</v>
      </c>
      <c r="Q1432" s="3" t="s">
        <v>27</v>
      </c>
      <c r="R1432" s="3" t="s">
        <v>28</v>
      </c>
      <c r="S1432" s="3" t="s">
        <v>29</v>
      </c>
      <c r="T1432" s="5">
        <v>2881.08</v>
      </c>
      <c r="U1432" s="5">
        <v>1242.32</v>
      </c>
      <c r="V1432" s="5">
        <v>1147.25</v>
      </c>
      <c r="W1432" s="3">
        <v>491.51</v>
      </c>
    </row>
    <row r="1433" spans="1:23" ht="60.75">
      <c r="A1433" s="3" t="s">
        <v>23</v>
      </c>
      <c r="B1433" s="3" t="s">
        <v>24</v>
      </c>
      <c r="C1433" s="3" t="s">
        <v>35</v>
      </c>
      <c r="D1433" s="3" t="s">
        <v>36</v>
      </c>
      <c r="E1433" s="3" t="s">
        <v>33</v>
      </c>
      <c r="F1433" s="3" t="s">
        <v>89</v>
      </c>
      <c r="G1433" s="3">
        <v>2016</v>
      </c>
      <c r="H1433" s="3" t="str">
        <f>CONCATENATE("64210819245")</f>
        <v>64210819245</v>
      </c>
      <c r="I1433" s="3" t="s">
        <v>25</v>
      </c>
      <c r="J1433" s="3" t="s">
        <v>26</v>
      </c>
      <c r="K1433" s="3" t="str">
        <f t="shared" si="45"/>
        <v/>
      </c>
      <c r="L1433" s="3" t="str">
        <f>CONCATENATE("13 13.1 4a")</f>
        <v>13 13.1 4a</v>
      </c>
      <c r="M1433" s="3" t="str">
        <f>CONCATENATE("MZZLCN75A21A462K")</f>
        <v>MZZLCN75A21A462K</v>
      </c>
      <c r="N1433" s="3" t="s">
        <v>1486</v>
      </c>
      <c r="O1433" s="3"/>
      <c r="P1433" s="4">
        <v>42783</v>
      </c>
      <c r="Q1433" s="3" t="s">
        <v>27</v>
      </c>
      <c r="R1433" s="3" t="s">
        <v>28</v>
      </c>
      <c r="S1433" s="3" t="s">
        <v>29</v>
      </c>
      <c r="T1433" s="5">
        <v>4769.82</v>
      </c>
      <c r="U1433" s="5">
        <v>2056.75</v>
      </c>
      <c r="V1433" s="5">
        <v>1899.34</v>
      </c>
      <c r="W1433" s="3">
        <v>813.73</v>
      </c>
    </row>
    <row r="1434" spans="1:23" ht="60.75">
      <c r="A1434" s="3" t="s">
        <v>23</v>
      </c>
      <c r="B1434" s="3" t="s">
        <v>24</v>
      </c>
      <c r="C1434" s="3" t="s">
        <v>35</v>
      </c>
      <c r="D1434" s="3" t="s">
        <v>36</v>
      </c>
      <c r="E1434" s="3" t="s">
        <v>42</v>
      </c>
      <c r="F1434" s="3" t="s">
        <v>42</v>
      </c>
      <c r="G1434" s="3">
        <v>2016</v>
      </c>
      <c r="H1434" s="3" t="str">
        <f>CONCATENATE("64240370755")</f>
        <v>64240370755</v>
      </c>
      <c r="I1434" s="3" t="s">
        <v>25</v>
      </c>
      <c r="J1434" s="3" t="s">
        <v>26</v>
      </c>
      <c r="K1434" s="3" t="str">
        <f t="shared" si="45"/>
        <v/>
      </c>
      <c r="L1434" s="3" t="str">
        <f>CONCATENATE("11 11.2 4b")</f>
        <v>11 11.2 4b</v>
      </c>
      <c r="M1434" s="3" t="str">
        <f>CONCATENATE("VLPRLL69S42H321N")</f>
        <v>VLPRLL69S42H321N</v>
      </c>
      <c r="N1434" s="3" t="s">
        <v>1487</v>
      </c>
      <c r="O1434" s="3"/>
      <c r="P1434" s="4">
        <v>42783</v>
      </c>
      <c r="Q1434" s="3" t="s">
        <v>27</v>
      </c>
      <c r="R1434" s="3" t="s">
        <v>28</v>
      </c>
      <c r="S1434" s="3" t="s">
        <v>29</v>
      </c>
      <c r="T1434" s="5">
        <v>2560.7800000000002</v>
      </c>
      <c r="U1434" s="5">
        <v>1104.21</v>
      </c>
      <c r="V1434" s="5">
        <v>1019.7</v>
      </c>
      <c r="W1434" s="3">
        <v>436.87</v>
      </c>
    </row>
    <row r="1435" spans="1:23" ht="60.75">
      <c r="A1435" s="3" t="s">
        <v>23</v>
      </c>
      <c r="B1435" s="3" t="s">
        <v>24</v>
      </c>
      <c r="C1435" s="3" t="s">
        <v>35</v>
      </c>
      <c r="D1435" s="3" t="s">
        <v>36</v>
      </c>
      <c r="E1435" s="3" t="s">
        <v>30</v>
      </c>
      <c r="F1435" s="3" t="s">
        <v>323</v>
      </c>
      <c r="G1435" s="3">
        <v>2016</v>
      </c>
      <c r="H1435" s="3" t="str">
        <f>CONCATENATE("64240488508")</f>
        <v>64240488508</v>
      </c>
      <c r="I1435" s="3" t="s">
        <v>25</v>
      </c>
      <c r="J1435" s="3" t="s">
        <v>26</v>
      </c>
      <c r="K1435" s="3" t="str">
        <f t="shared" si="45"/>
        <v/>
      </c>
      <c r="L1435" s="3" t="str">
        <f>CONCATENATE("11 11.2 4b")</f>
        <v>11 11.2 4b</v>
      </c>
      <c r="M1435" s="3" t="str">
        <f>CONCATENATE("SLVMRA32E43A335B")</f>
        <v>SLVMRA32E43A335B</v>
      </c>
      <c r="N1435" s="3" t="s">
        <v>1488</v>
      </c>
      <c r="O1435" s="3"/>
      <c r="P1435" s="4">
        <v>42783</v>
      </c>
      <c r="Q1435" s="3" t="s">
        <v>27</v>
      </c>
      <c r="R1435" s="3" t="s">
        <v>28</v>
      </c>
      <c r="S1435" s="3" t="s">
        <v>29</v>
      </c>
      <c r="T1435" s="5">
        <v>1935.14</v>
      </c>
      <c r="U1435" s="3">
        <v>834.43</v>
      </c>
      <c r="V1435" s="3">
        <v>770.57</v>
      </c>
      <c r="W1435" s="3">
        <v>330.14</v>
      </c>
    </row>
    <row r="1436" spans="1:23" ht="60.75">
      <c r="A1436" s="3" t="s">
        <v>23</v>
      </c>
      <c r="B1436" s="3" t="s">
        <v>24</v>
      </c>
      <c r="C1436" s="3" t="s">
        <v>35</v>
      </c>
      <c r="D1436" s="3" t="s">
        <v>48</v>
      </c>
      <c r="E1436" s="3" t="s">
        <v>30</v>
      </c>
      <c r="F1436" s="3" t="s">
        <v>157</v>
      </c>
      <c r="G1436" s="3">
        <v>2016</v>
      </c>
      <c r="H1436" s="3" t="str">
        <f>CONCATENATE("64240614228")</f>
        <v>64240614228</v>
      </c>
      <c r="I1436" s="3" t="s">
        <v>25</v>
      </c>
      <c r="J1436" s="3" t="s">
        <v>26</v>
      </c>
      <c r="K1436" s="3" t="str">
        <f t="shared" si="45"/>
        <v/>
      </c>
      <c r="L1436" s="3" t="str">
        <f>CONCATENATE("11 11.2 4b")</f>
        <v>11 11.2 4b</v>
      </c>
      <c r="M1436" s="3" t="str">
        <f>CONCATENATE("GTTLRA83L43E783K")</f>
        <v>GTTLRA83L43E783K</v>
      </c>
      <c r="N1436" s="3" t="s">
        <v>1489</v>
      </c>
      <c r="O1436" s="3"/>
      <c r="P1436" s="4">
        <v>42783</v>
      </c>
      <c r="Q1436" s="3" t="s">
        <v>27</v>
      </c>
      <c r="R1436" s="3" t="s">
        <v>28</v>
      </c>
      <c r="S1436" s="3" t="s">
        <v>29</v>
      </c>
      <c r="T1436" s="5">
        <v>6639.58</v>
      </c>
      <c r="U1436" s="5">
        <v>2862.99</v>
      </c>
      <c r="V1436" s="5">
        <v>2643.88</v>
      </c>
      <c r="W1436" s="5">
        <v>1132.71</v>
      </c>
    </row>
    <row r="1437" spans="1:23" ht="60.75">
      <c r="A1437" s="3" t="s">
        <v>23</v>
      </c>
      <c r="B1437" s="3" t="s">
        <v>24</v>
      </c>
      <c r="C1437" s="3" t="s">
        <v>35</v>
      </c>
      <c r="D1437" s="3" t="s">
        <v>43</v>
      </c>
      <c r="E1437" s="3" t="s">
        <v>30</v>
      </c>
      <c r="F1437" s="3" t="s">
        <v>76</v>
      </c>
      <c r="G1437" s="3">
        <v>2016</v>
      </c>
      <c r="H1437" s="3" t="str">
        <f>CONCATENATE("64210122970")</f>
        <v>64210122970</v>
      </c>
      <c r="I1437" s="3" t="s">
        <v>25</v>
      </c>
      <c r="J1437" s="3" t="s">
        <v>26</v>
      </c>
      <c r="K1437" s="3" t="str">
        <f t="shared" si="45"/>
        <v/>
      </c>
      <c r="L1437" s="3" t="str">
        <f>CONCATENATE("13 13.1 4a")</f>
        <v>13 13.1 4a</v>
      </c>
      <c r="M1437" s="3" t="str">
        <f>CONCATENATE("GRSNVS60C67H294C")</f>
        <v>GRSNVS60C67H294C</v>
      </c>
      <c r="N1437" s="3" t="s">
        <v>1490</v>
      </c>
      <c r="O1437" s="3"/>
      <c r="P1437" s="4">
        <v>42783</v>
      </c>
      <c r="Q1437" s="3" t="s">
        <v>27</v>
      </c>
      <c r="R1437" s="3" t="s">
        <v>28</v>
      </c>
      <c r="S1437" s="3" t="s">
        <v>29</v>
      </c>
      <c r="T1437" s="5">
        <v>2738.09</v>
      </c>
      <c r="U1437" s="5">
        <v>1180.6600000000001</v>
      </c>
      <c r="V1437" s="5">
        <v>1090.31</v>
      </c>
      <c r="W1437" s="3">
        <v>467.12</v>
      </c>
    </row>
    <row r="1438" spans="1:23" ht="36.75">
      <c r="A1438" s="3" t="s">
        <v>23</v>
      </c>
      <c r="B1438" s="3" t="s">
        <v>24</v>
      </c>
      <c r="C1438" s="3" t="s">
        <v>35</v>
      </c>
      <c r="D1438" s="3" t="s">
        <v>48</v>
      </c>
      <c r="E1438" s="3" t="s">
        <v>30</v>
      </c>
      <c r="F1438" s="3" t="s">
        <v>91</v>
      </c>
      <c r="G1438" s="3">
        <v>2016</v>
      </c>
      <c r="H1438" s="3" t="str">
        <f>CONCATENATE("64210595126")</f>
        <v>64210595126</v>
      </c>
      <c r="I1438" s="3" t="s">
        <v>25</v>
      </c>
      <c r="J1438" s="3" t="s">
        <v>26</v>
      </c>
      <c r="K1438" s="3" t="str">
        <f t="shared" si="45"/>
        <v/>
      </c>
      <c r="L1438" s="3" t="str">
        <f>CONCATENATE("13 13.1 4a")</f>
        <v>13 13.1 4a</v>
      </c>
      <c r="M1438" s="3" t="str">
        <f>CONCATENATE("01741900433")</f>
        <v>01741900433</v>
      </c>
      <c r="N1438" s="3" t="s">
        <v>1491</v>
      </c>
      <c r="O1438" s="3"/>
      <c r="P1438" s="4">
        <v>42783</v>
      </c>
      <c r="Q1438" s="3" t="s">
        <v>27</v>
      </c>
      <c r="R1438" s="3" t="s">
        <v>28</v>
      </c>
      <c r="S1438" s="3" t="s">
        <v>29</v>
      </c>
      <c r="T1438" s="5">
        <v>5238</v>
      </c>
      <c r="U1438" s="5">
        <v>2258.63</v>
      </c>
      <c r="V1438" s="5">
        <v>2085.77</v>
      </c>
      <c r="W1438" s="3">
        <v>893.6</v>
      </c>
    </row>
    <row r="1439" spans="1:23" ht="72.75">
      <c r="A1439" s="3" t="s">
        <v>23</v>
      </c>
      <c r="B1439" s="3" t="s">
        <v>24</v>
      </c>
      <c r="C1439" s="3" t="s">
        <v>35</v>
      </c>
      <c r="D1439" s="3" t="s">
        <v>43</v>
      </c>
      <c r="E1439" s="3" t="s">
        <v>32</v>
      </c>
      <c r="F1439" s="3" t="s">
        <v>148</v>
      </c>
      <c r="G1439" s="3">
        <v>2016</v>
      </c>
      <c r="H1439" s="3" t="str">
        <f>CONCATENATE("64240422374")</f>
        <v>64240422374</v>
      </c>
      <c r="I1439" s="3" t="s">
        <v>25</v>
      </c>
      <c r="J1439" s="3" t="s">
        <v>26</v>
      </c>
      <c r="K1439" s="3" t="str">
        <f t="shared" si="45"/>
        <v/>
      </c>
      <c r="L1439" s="3" t="str">
        <f t="shared" ref="L1439:L1445" si="47">CONCATENATE("11 11.2 4b")</f>
        <v>11 11.2 4b</v>
      </c>
      <c r="M1439" s="3" t="str">
        <f>CONCATENATE("CRNMSM68A10C830Z")</f>
        <v>CRNMSM68A10C830Z</v>
      </c>
      <c r="N1439" s="3" t="s">
        <v>1492</v>
      </c>
      <c r="O1439" s="3"/>
      <c r="P1439" s="4">
        <v>42783</v>
      </c>
      <c r="Q1439" s="3" t="s">
        <v>27</v>
      </c>
      <c r="R1439" s="3" t="s">
        <v>28</v>
      </c>
      <c r="S1439" s="3" t="s">
        <v>29</v>
      </c>
      <c r="T1439" s="5">
        <v>2307.54</v>
      </c>
      <c r="U1439" s="3">
        <v>995.01</v>
      </c>
      <c r="V1439" s="3">
        <v>918.86</v>
      </c>
      <c r="W1439" s="3">
        <v>393.67</v>
      </c>
    </row>
    <row r="1440" spans="1:23" ht="36.75">
      <c r="A1440" s="3" t="s">
        <v>23</v>
      </c>
      <c r="B1440" s="3" t="s">
        <v>24</v>
      </c>
      <c r="C1440" s="3" t="s">
        <v>35</v>
      </c>
      <c r="D1440" s="3" t="s">
        <v>48</v>
      </c>
      <c r="E1440" s="3" t="s">
        <v>30</v>
      </c>
      <c r="F1440" s="3" t="s">
        <v>91</v>
      </c>
      <c r="G1440" s="3">
        <v>2016</v>
      </c>
      <c r="H1440" s="3" t="str">
        <f>CONCATENATE("64240483376")</f>
        <v>64240483376</v>
      </c>
      <c r="I1440" s="3" t="s">
        <v>25</v>
      </c>
      <c r="J1440" s="3" t="s">
        <v>26</v>
      </c>
      <c r="K1440" s="3" t="str">
        <f t="shared" si="45"/>
        <v/>
      </c>
      <c r="L1440" s="3" t="str">
        <f t="shared" si="47"/>
        <v>11 11.2 4b</v>
      </c>
      <c r="M1440" s="3" t="str">
        <f>CONCATENATE("01741900433")</f>
        <v>01741900433</v>
      </c>
      <c r="N1440" s="3" t="s">
        <v>1491</v>
      </c>
      <c r="O1440" s="3"/>
      <c r="P1440" s="4">
        <v>42783</v>
      </c>
      <c r="Q1440" s="3" t="s">
        <v>27</v>
      </c>
      <c r="R1440" s="3" t="s">
        <v>28</v>
      </c>
      <c r="S1440" s="3" t="s">
        <v>29</v>
      </c>
      <c r="T1440" s="5">
        <v>10443.84</v>
      </c>
      <c r="U1440" s="5">
        <v>4503.38</v>
      </c>
      <c r="V1440" s="5">
        <v>4158.74</v>
      </c>
      <c r="W1440" s="5">
        <v>1781.72</v>
      </c>
    </row>
    <row r="1441" spans="1:23" ht="60.75">
      <c r="A1441" s="3" t="s">
        <v>23</v>
      </c>
      <c r="B1441" s="3" t="s">
        <v>24</v>
      </c>
      <c r="C1441" s="3" t="s">
        <v>35</v>
      </c>
      <c r="D1441" s="3" t="s">
        <v>48</v>
      </c>
      <c r="E1441" s="3" t="s">
        <v>30</v>
      </c>
      <c r="F1441" s="3" t="s">
        <v>57</v>
      </c>
      <c r="G1441" s="3">
        <v>2016</v>
      </c>
      <c r="H1441" s="3" t="str">
        <f>CONCATENATE("64240602348")</f>
        <v>64240602348</v>
      </c>
      <c r="I1441" s="3" t="s">
        <v>25</v>
      </c>
      <c r="J1441" s="3" t="s">
        <v>26</v>
      </c>
      <c r="K1441" s="3" t="str">
        <f t="shared" si="45"/>
        <v/>
      </c>
      <c r="L1441" s="3" t="str">
        <f t="shared" si="47"/>
        <v>11 11.2 4b</v>
      </c>
      <c r="M1441" s="3" t="str">
        <f>CONCATENATE("CRTSDR46R31A739P")</f>
        <v>CRTSDR46R31A739P</v>
      </c>
      <c r="N1441" s="3" t="s">
        <v>1493</v>
      </c>
      <c r="O1441" s="3"/>
      <c r="P1441" s="4">
        <v>42783</v>
      </c>
      <c r="Q1441" s="3" t="s">
        <v>27</v>
      </c>
      <c r="R1441" s="3" t="s">
        <v>28</v>
      </c>
      <c r="S1441" s="3" t="s">
        <v>29</v>
      </c>
      <c r="T1441" s="5">
        <v>5051.1499999999996</v>
      </c>
      <c r="U1441" s="5">
        <v>2178.06</v>
      </c>
      <c r="V1441" s="5">
        <v>2011.37</v>
      </c>
      <c r="W1441" s="3">
        <v>861.72</v>
      </c>
    </row>
    <row r="1442" spans="1:23" ht="36.75">
      <c r="A1442" s="3" t="s">
        <v>23</v>
      </c>
      <c r="B1442" s="3" t="s">
        <v>24</v>
      </c>
      <c r="C1442" s="3" t="s">
        <v>35</v>
      </c>
      <c r="D1442" s="3" t="s">
        <v>43</v>
      </c>
      <c r="E1442" s="3" t="s">
        <v>30</v>
      </c>
      <c r="F1442" s="3" t="s">
        <v>131</v>
      </c>
      <c r="G1442" s="3">
        <v>2016</v>
      </c>
      <c r="H1442" s="3" t="str">
        <f>CONCATENATE("64240913687")</f>
        <v>64240913687</v>
      </c>
      <c r="I1442" s="3" t="s">
        <v>25</v>
      </c>
      <c r="J1442" s="3" t="s">
        <v>26</v>
      </c>
      <c r="K1442" s="3" t="str">
        <f t="shared" si="45"/>
        <v/>
      </c>
      <c r="L1442" s="3" t="str">
        <f t="shared" si="47"/>
        <v>11 11.2 4b</v>
      </c>
      <c r="M1442" s="3" t="str">
        <f>CONCATENATE("02470710415")</f>
        <v>02470710415</v>
      </c>
      <c r="N1442" s="3" t="s">
        <v>1494</v>
      </c>
      <c r="O1442" s="3"/>
      <c r="P1442" s="4">
        <v>42783</v>
      </c>
      <c r="Q1442" s="3" t="s">
        <v>27</v>
      </c>
      <c r="R1442" s="3" t="s">
        <v>28</v>
      </c>
      <c r="S1442" s="3" t="s">
        <v>29</v>
      </c>
      <c r="T1442" s="5">
        <v>2461.4699999999998</v>
      </c>
      <c r="U1442" s="5">
        <v>1061.3900000000001</v>
      </c>
      <c r="V1442" s="3">
        <v>980.16</v>
      </c>
      <c r="W1442" s="3">
        <v>419.92</v>
      </c>
    </row>
    <row r="1443" spans="1:23" ht="60.75">
      <c r="A1443" s="3" t="s">
        <v>23</v>
      </c>
      <c r="B1443" s="3" t="s">
        <v>24</v>
      </c>
      <c r="C1443" s="3" t="s">
        <v>35</v>
      </c>
      <c r="D1443" s="3" t="s">
        <v>48</v>
      </c>
      <c r="E1443" s="3" t="s">
        <v>30</v>
      </c>
      <c r="F1443" s="3" t="s">
        <v>40</v>
      </c>
      <c r="G1443" s="3">
        <v>2016</v>
      </c>
      <c r="H1443" s="3" t="str">
        <f>CONCATENATE("64240528477")</f>
        <v>64240528477</v>
      </c>
      <c r="I1443" s="3" t="s">
        <v>25</v>
      </c>
      <c r="J1443" s="3" t="s">
        <v>26</v>
      </c>
      <c r="K1443" s="3" t="str">
        <f t="shared" si="45"/>
        <v/>
      </c>
      <c r="L1443" s="3" t="str">
        <f t="shared" si="47"/>
        <v>11 11.2 4b</v>
      </c>
      <c r="M1443" s="3" t="str">
        <f>CONCATENATE("CLCPNI64D41I932B")</f>
        <v>CLCPNI64D41I932B</v>
      </c>
      <c r="N1443" s="3" t="s">
        <v>1495</v>
      </c>
      <c r="O1443" s="3"/>
      <c r="P1443" s="4">
        <v>42783</v>
      </c>
      <c r="Q1443" s="3" t="s">
        <v>27</v>
      </c>
      <c r="R1443" s="3" t="s">
        <v>28</v>
      </c>
      <c r="S1443" s="3" t="s">
        <v>29</v>
      </c>
      <c r="T1443" s="5">
        <v>5557.71</v>
      </c>
      <c r="U1443" s="5">
        <v>2396.48</v>
      </c>
      <c r="V1443" s="5">
        <v>2213.08</v>
      </c>
      <c r="W1443" s="3">
        <v>948.15</v>
      </c>
    </row>
    <row r="1444" spans="1:23" ht="60.75">
      <c r="A1444" s="3" t="s">
        <v>23</v>
      </c>
      <c r="B1444" s="3" t="s">
        <v>24</v>
      </c>
      <c r="C1444" s="3" t="s">
        <v>35</v>
      </c>
      <c r="D1444" s="3" t="s">
        <v>43</v>
      </c>
      <c r="E1444" s="3" t="s">
        <v>30</v>
      </c>
      <c r="F1444" s="3" t="s">
        <v>113</v>
      </c>
      <c r="G1444" s="3">
        <v>2016</v>
      </c>
      <c r="H1444" s="3" t="str">
        <f>CONCATENATE("64240459517")</f>
        <v>64240459517</v>
      </c>
      <c r="I1444" s="3" t="s">
        <v>25</v>
      </c>
      <c r="J1444" s="3" t="s">
        <v>26</v>
      </c>
      <c r="K1444" s="3" t="str">
        <f t="shared" si="45"/>
        <v/>
      </c>
      <c r="L1444" s="3" t="str">
        <f t="shared" si="47"/>
        <v>11 11.2 4b</v>
      </c>
      <c r="M1444" s="3" t="str">
        <f>CONCATENATE("NZNRBN85S03L500H")</f>
        <v>NZNRBN85S03L500H</v>
      </c>
      <c r="N1444" s="3" t="s">
        <v>1496</v>
      </c>
      <c r="O1444" s="3"/>
      <c r="P1444" s="4">
        <v>42783</v>
      </c>
      <c r="Q1444" s="3" t="s">
        <v>27</v>
      </c>
      <c r="R1444" s="3" t="s">
        <v>28</v>
      </c>
      <c r="S1444" s="3" t="s">
        <v>29</v>
      </c>
      <c r="T1444" s="3">
        <v>458.4</v>
      </c>
      <c r="U1444" s="3">
        <v>197.66</v>
      </c>
      <c r="V1444" s="3">
        <v>182.53</v>
      </c>
      <c r="W1444" s="3">
        <v>78.209999999999994</v>
      </c>
    </row>
    <row r="1445" spans="1:23" ht="36.75">
      <c r="A1445" s="3" t="s">
        <v>23</v>
      </c>
      <c r="B1445" s="3" t="s">
        <v>24</v>
      </c>
      <c r="C1445" s="3" t="s">
        <v>35</v>
      </c>
      <c r="D1445" s="3" t="s">
        <v>36</v>
      </c>
      <c r="E1445" s="3" t="s">
        <v>135</v>
      </c>
      <c r="F1445" s="3" t="s">
        <v>136</v>
      </c>
      <c r="G1445" s="3">
        <v>2016</v>
      </c>
      <c r="H1445" s="3" t="str">
        <f>CONCATENATE("64240511473")</f>
        <v>64240511473</v>
      </c>
      <c r="I1445" s="3" t="s">
        <v>25</v>
      </c>
      <c r="J1445" s="3" t="s">
        <v>26</v>
      </c>
      <c r="K1445" s="3" t="str">
        <f t="shared" si="45"/>
        <v/>
      </c>
      <c r="L1445" s="3" t="str">
        <f t="shared" si="47"/>
        <v>11 11.2 4b</v>
      </c>
      <c r="M1445" s="3" t="str">
        <f>CONCATENATE("01793280437")</f>
        <v>01793280437</v>
      </c>
      <c r="N1445" s="3" t="s">
        <v>1497</v>
      </c>
      <c r="O1445" s="3"/>
      <c r="P1445" s="4">
        <v>42783</v>
      </c>
      <c r="Q1445" s="3" t="s">
        <v>27</v>
      </c>
      <c r="R1445" s="3" t="s">
        <v>28</v>
      </c>
      <c r="S1445" s="3" t="s">
        <v>29</v>
      </c>
      <c r="T1445" s="5">
        <v>16840.400000000001</v>
      </c>
      <c r="U1445" s="5">
        <v>7261.58</v>
      </c>
      <c r="V1445" s="5">
        <v>6705.85</v>
      </c>
      <c r="W1445" s="5">
        <v>2872.97</v>
      </c>
    </row>
    <row r="1446" spans="1:23" ht="60.75">
      <c r="A1446" s="3" t="s">
        <v>23</v>
      </c>
      <c r="B1446" s="3" t="s">
        <v>24</v>
      </c>
      <c r="C1446" s="3" t="s">
        <v>35</v>
      </c>
      <c r="D1446" s="3" t="s">
        <v>48</v>
      </c>
      <c r="E1446" s="3" t="s">
        <v>32</v>
      </c>
      <c r="F1446" s="3" t="s">
        <v>129</v>
      </c>
      <c r="G1446" s="3">
        <v>2016</v>
      </c>
      <c r="H1446" s="3" t="str">
        <f>CONCATENATE("64240270765")</f>
        <v>64240270765</v>
      </c>
      <c r="I1446" s="3" t="s">
        <v>25</v>
      </c>
      <c r="J1446" s="3" t="s">
        <v>26</v>
      </c>
      <c r="K1446" s="3" t="str">
        <f t="shared" si="45"/>
        <v/>
      </c>
      <c r="L1446" s="3" t="str">
        <f>CONCATENATE("11 11.1 4b")</f>
        <v>11 11.1 4b</v>
      </c>
      <c r="M1446" s="3" t="str">
        <f>CONCATENATE("MSCLSN89S13B474V")</f>
        <v>MSCLSN89S13B474V</v>
      </c>
      <c r="N1446" s="3" t="s">
        <v>1498</v>
      </c>
      <c r="O1446" s="3"/>
      <c r="P1446" s="4">
        <v>42783</v>
      </c>
      <c r="Q1446" s="3" t="s">
        <v>27</v>
      </c>
      <c r="R1446" s="3" t="s">
        <v>28</v>
      </c>
      <c r="S1446" s="3" t="s">
        <v>29</v>
      </c>
      <c r="T1446" s="5">
        <v>4855.1400000000003</v>
      </c>
      <c r="U1446" s="5">
        <v>2093.54</v>
      </c>
      <c r="V1446" s="5">
        <v>1933.32</v>
      </c>
      <c r="W1446" s="3">
        <v>828.28</v>
      </c>
    </row>
    <row r="1447" spans="1:23" ht="60.75">
      <c r="A1447" s="3" t="s">
        <v>23</v>
      </c>
      <c r="B1447" s="3" t="s">
        <v>24</v>
      </c>
      <c r="C1447" s="3" t="s">
        <v>35</v>
      </c>
      <c r="D1447" s="3" t="s">
        <v>39</v>
      </c>
      <c r="E1447" s="3" t="s">
        <v>30</v>
      </c>
      <c r="F1447" s="3" t="s">
        <v>533</v>
      </c>
      <c r="G1447" s="3">
        <v>2016</v>
      </c>
      <c r="H1447" s="3" t="str">
        <f>CONCATENATE("64240298642")</f>
        <v>64240298642</v>
      </c>
      <c r="I1447" s="3" t="s">
        <v>25</v>
      </c>
      <c r="J1447" s="3" t="s">
        <v>26</v>
      </c>
      <c r="K1447" s="3" t="str">
        <f t="shared" si="45"/>
        <v/>
      </c>
      <c r="L1447" s="3" t="str">
        <f>CONCATENATE("11 11.2 4b")</f>
        <v>11 11.2 4b</v>
      </c>
      <c r="M1447" s="3" t="str">
        <f>CONCATENATE("DNNGNN62D18I461Q")</f>
        <v>DNNGNN62D18I461Q</v>
      </c>
      <c r="N1447" s="3" t="s">
        <v>1499</v>
      </c>
      <c r="O1447" s="3"/>
      <c r="P1447" s="4">
        <v>42783</v>
      </c>
      <c r="Q1447" s="3" t="s">
        <v>27</v>
      </c>
      <c r="R1447" s="3" t="s">
        <v>28</v>
      </c>
      <c r="S1447" s="3" t="s">
        <v>29</v>
      </c>
      <c r="T1447" s="5">
        <v>4705.22</v>
      </c>
      <c r="U1447" s="5">
        <v>2028.89</v>
      </c>
      <c r="V1447" s="5">
        <v>1873.62</v>
      </c>
      <c r="W1447" s="3">
        <v>802.71</v>
      </c>
    </row>
    <row r="1448" spans="1:23" ht="36.75">
      <c r="A1448" s="3" t="s">
        <v>23</v>
      </c>
      <c r="B1448" s="3" t="s">
        <v>24</v>
      </c>
      <c r="C1448" s="3" t="s">
        <v>35</v>
      </c>
      <c r="D1448" s="3" t="s">
        <v>43</v>
      </c>
      <c r="E1448" s="3" t="s">
        <v>33</v>
      </c>
      <c r="F1448" s="3" t="s">
        <v>122</v>
      </c>
      <c r="G1448" s="3">
        <v>2016</v>
      </c>
      <c r="H1448" s="3" t="str">
        <f>CONCATENATE("64210459679")</f>
        <v>64210459679</v>
      </c>
      <c r="I1448" s="3" t="s">
        <v>31</v>
      </c>
      <c r="J1448" s="3" t="s">
        <v>26</v>
      </c>
      <c r="K1448" s="3" t="str">
        <f t="shared" si="45"/>
        <v/>
      </c>
      <c r="L1448" s="3" t="str">
        <f>CONCATENATE("13 13.1 4a")</f>
        <v>13 13.1 4a</v>
      </c>
      <c r="M1448" s="3" t="str">
        <f>CONCATENATE("01388160416")</f>
        <v>01388160416</v>
      </c>
      <c r="N1448" s="3" t="s">
        <v>1500</v>
      </c>
      <c r="O1448" s="3"/>
      <c r="P1448" s="4">
        <v>42783</v>
      </c>
      <c r="Q1448" s="3" t="s">
        <v>27</v>
      </c>
      <c r="R1448" s="3" t="s">
        <v>28</v>
      </c>
      <c r="S1448" s="3" t="s">
        <v>29</v>
      </c>
      <c r="T1448" s="5">
        <v>2336.59</v>
      </c>
      <c r="U1448" s="5">
        <v>1007.54</v>
      </c>
      <c r="V1448" s="3">
        <v>930.43</v>
      </c>
      <c r="W1448" s="3">
        <v>398.62</v>
      </c>
    </row>
    <row r="1449" spans="1:23" ht="36.75">
      <c r="A1449" s="3" t="s">
        <v>23</v>
      </c>
      <c r="B1449" s="3" t="s">
        <v>24</v>
      </c>
      <c r="C1449" s="3" t="s">
        <v>35</v>
      </c>
      <c r="D1449" s="3" t="s">
        <v>36</v>
      </c>
      <c r="E1449" s="3" t="s">
        <v>42</v>
      </c>
      <c r="F1449" s="3" t="s">
        <v>42</v>
      </c>
      <c r="G1449" s="3">
        <v>2016</v>
      </c>
      <c r="H1449" s="3" t="str">
        <f>CONCATENATE("64240699062")</f>
        <v>64240699062</v>
      </c>
      <c r="I1449" s="3" t="s">
        <v>25</v>
      </c>
      <c r="J1449" s="3" t="s">
        <v>26</v>
      </c>
      <c r="K1449" s="3" t="str">
        <f t="shared" si="45"/>
        <v/>
      </c>
      <c r="L1449" s="3" t="str">
        <f>CONCATENATE("11 11.2 4b")</f>
        <v>11 11.2 4b</v>
      </c>
      <c r="M1449" s="3" t="str">
        <f>CONCATENATE("02215890449")</f>
        <v>02215890449</v>
      </c>
      <c r="N1449" s="3" t="s">
        <v>1501</v>
      </c>
      <c r="O1449" s="3"/>
      <c r="P1449" s="4">
        <v>42783</v>
      </c>
      <c r="Q1449" s="3" t="s">
        <v>27</v>
      </c>
      <c r="R1449" s="3" t="s">
        <v>28</v>
      </c>
      <c r="S1449" s="3" t="s">
        <v>29</v>
      </c>
      <c r="T1449" s="5">
        <v>5338.22</v>
      </c>
      <c r="U1449" s="5">
        <v>2301.84</v>
      </c>
      <c r="V1449" s="5">
        <v>2125.6799999999998</v>
      </c>
      <c r="W1449" s="3">
        <v>910.7</v>
      </c>
    </row>
    <row r="1450" spans="1:23" ht="36.75">
      <c r="A1450" s="3" t="s">
        <v>23</v>
      </c>
      <c r="B1450" s="3" t="s">
        <v>24</v>
      </c>
      <c r="C1450" s="3" t="s">
        <v>35</v>
      </c>
      <c r="D1450" s="3" t="s">
        <v>36</v>
      </c>
      <c r="E1450" s="3" t="s">
        <v>42</v>
      </c>
      <c r="F1450" s="3" t="s">
        <v>42</v>
      </c>
      <c r="G1450" s="3">
        <v>2016</v>
      </c>
      <c r="H1450" s="3" t="str">
        <f>CONCATENATE("64210900714")</f>
        <v>64210900714</v>
      </c>
      <c r="I1450" s="3" t="s">
        <v>25</v>
      </c>
      <c r="J1450" s="3" t="s">
        <v>26</v>
      </c>
      <c r="K1450" s="3" t="str">
        <f t="shared" si="45"/>
        <v/>
      </c>
      <c r="L1450" s="3" t="str">
        <f>CONCATENATE("13 13.1 4a")</f>
        <v>13 13.1 4a</v>
      </c>
      <c r="M1450" s="3" t="str">
        <f>CONCATENATE("02215890449")</f>
        <v>02215890449</v>
      </c>
      <c r="N1450" s="3" t="s">
        <v>1501</v>
      </c>
      <c r="O1450" s="3"/>
      <c r="P1450" s="4">
        <v>42783</v>
      </c>
      <c r="Q1450" s="3" t="s">
        <v>27</v>
      </c>
      <c r="R1450" s="3" t="s">
        <v>28</v>
      </c>
      <c r="S1450" s="3" t="s">
        <v>29</v>
      </c>
      <c r="T1450" s="5">
        <v>3507.71</v>
      </c>
      <c r="U1450" s="5">
        <v>1512.52</v>
      </c>
      <c r="V1450" s="5">
        <v>1396.77</v>
      </c>
      <c r="W1450" s="3">
        <v>598.41999999999996</v>
      </c>
    </row>
    <row r="1451" spans="1:23" ht="60.75">
      <c r="A1451" s="3" t="s">
        <v>23</v>
      </c>
      <c r="B1451" s="3" t="s">
        <v>24</v>
      </c>
      <c r="C1451" s="3" t="s">
        <v>35</v>
      </c>
      <c r="D1451" s="3" t="s">
        <v>43</v>
      </c>
      <c r="E1451" s="3" t="s">
        <v>30</v>
      </c>
      <c r="F1451" s="3" t="s">
        <v>131</v>
      </c>
      <c r="G1451" s="3">
        <v>2016</v>
      </c>
      <c r="H1451" s="3" t="str">
        <f>CONCATENATE("64210937799")</f>
        <v>64210937799</v>
      </c>
      <c r="I1451" s="3" t="s">
        <v>25</v>
      </c>
      <c r="J1451" s="3" t="s">
        <v>26</v>
      </c>
      <c r="K1451" s="3" t="str">
        <f t="shared" si="45"/>
        <v/>
      </c>
      <c r="L1451" s="3" t="str">
        <f>CONCATENATE("13 13.1 4a")</f>
        <v>13 13.1 4a</v>
      </c>
      <c r="M1451" s="3" t="str">
        <f>CONCATENATE("RMTRNT57R26D749Y")</f>
        <v>RMTRNT57R26D749Y</v>
      </c>
      <c r="N1451" s="3" t="s">
        <v>1502</v>
      </c>
      <c r="O1451" s="3"/>
      <c r="P1451" s="4">
        <v>42783</v>
      </c>
      <c r="Q1451" s="3" t="s">
        <v>27</v>
      </c>
      <c r="R1451" s="3" t="s">
        <v>28</v>
      </c>
      <c r="S1451" s="3" t="s">
        <v>29</v>
      </c>
      <c r="T1451" s="5">
        <v>2220.79</v>
      </c>
      <c r="U1451" s="3">
        <v>957.6</v>
      </c>
      <c r="V1451" s="3">
        <v>884.32</v>
      </c>
      <c r="W1451" s="3">
        <v>378.87</v>
      </c>
    </row>
    <row r="1452" spans="1:23" ht="36.75">
      <c r="A1452" s="3" t="s">
        <v>23</v>
      </c>
      <c r="B1452" s="3" t="s">
        <v>24</v>
      </c>
      <c r="C1452" s="3" t="s">
        <v>35</v>
      </c>
      <c r="D1452" s="3" t="s">
        <v>36</v>
      </c>
      <c r="E1452" s="3" t="s">
        <v>30</v>
      </c>
      <c r="F1452" s="3" t="s">
        <v>67</v>
      </c>
      <c r="G1452" s="3">
        <v>2016</v>
      </c>
      <c r="H1452" s="3" t="str">
        <f>CONCATENATE("64240679429")</f>
        <v>64240679429</v>
      </c>
      <c r="I1452" s="3" t="s">
        <v>31</v>
      </c>
      <c r="J1452" s="3" t="s">
        <v>26</v>
      </c>
      <c r="K1452" s="3" t="str">
        <f t="shared" si="45"/>
        <v/>
      </c>
      <c r="L1452" s="3" t="str">
        <f>CONCATENATE("11 11.2 4b")</f>
        <v>11 11.2 4b</v>
      </c>
      <c r="M1452" s="3" t="str">
        <f>CONCATENATE("09025691008")</f>
        <v>09025691008</v>
      </c>
      <c r="N1452" s="3" t="s">
        <v>1503</v>
      </c>
      <c r="O1452" s="3"/>
      <c r="P1452" s="4">
        <v>42783</v>
      </c>
      <c r="Q1452" s="3" t="s">
        <v>27</v>
      </c>
      <c r="R1452" s="3" t="s">
        <v>28</v>
      </c>
      <c r="S1452" s="3" t="s">
        <v>29</v>
      </c>
      <c r="T1452" s="5">
        <v>2313.23</v>
      </c>
      <c r="U1452" s="3">
        <v>997.46</v>
      </c>
      <c r="V1452" s="3">
        <v>921.13</v>
      </c>
      <c r="W1452" s="3">
        <v>394.64</v>
      </c>
    </row>
    <row r="1453" spans="1:23" ht="72.75">
      <c r="A1453" s="3" t="s">
        <v>23</v>
      </c>
      <c r="B1453" s="3" t="s">
        <v>24</v>
      </c>
      <c r="C1453" s="3" t="s">
        <v>35</v>
      </c>
      <c r="D1453" s="3" t="s">
        <v>43</v>
      </c>
      <c r="E1453" s="3" t="s">
        <v>32</v>
      </c>
      <c r="F1453" s="3" t="s">
        <v>335</v>
      </c>
      <c r="G1453" s="3">
        <v>2016</v>
      </c>
      <c r="H1453" s="3" t="str">
        <f>CONCATENATE("64210739815")</f>
        <v>64210739815</v>
      </c>
      <c r="I1453" s="3" t="s">
        <v>25</v>
      </c>
      <c r="J1453" s="3" t="s">
        <v>26</v>
      </c>
      <c r="K1453" s="3" t="str">
        <f t="shared" si="45"/>
        <v/>
      </c>
      <c r="L1453" s="3" t="str">
        <f>CONCATENATE("13 13.1 4a")</f>
        <v>13 13.1 4a</v>
      </c>
      <c r="M1453" s="3" t="str">
        <f>CONCATENATE("GGGNMR60S53Z130W")</f>
        <v>GGGNMR60S53Z130W</v>
      </c>
      <c r="N1453" s="3" t="s">
        <v>1504</v>
      </c>
      <c r="O1453" s="3"/>
      <c r="P1453" s="4">
        <v>42783</v>
      </c>
      <c r="Q1453" s="3" t="s">
        <v>27</v>
      </c>
      <c r="R1453" s="3" t="s">
        <v>28</v>
      </c>
      <c r="S1453" s="3" t="s">
        <v>29</v>
      </c>
      <c r="T1453" s="5">
        <v>3961.47</v>
      </c>
      <c r="U1453" s="5">
        <v>1708.19</v>
      </c>
      <c r="V1453" s="5">
        <v>1577.46</v>
      </c>
      <c r="W1453" s="3">
        <v>675.82</v>
      </c>
    </row>
    <row r="1454" spans="1:23" ht="60.75">
      <c r="A1454" s="3" t="s">
        <v>23</v>
      </c>
      <c r="B1454" s="3" t="s">
        <v>24</v>
      </c>
      <c r="C1454" s="3" t="s">
        <v>35</v>
      </c>
      <c r="D1454" s="3" t="s">
        <v>48</v>
      </c>
      <c r="E1454" s="3" t="s">
        <v>30</v>
      </c>
      <c r="F1454" s="3" t="s">
        <v>157</v>
      </c>
      <c r="G1454" s="3">
        <v>2016</v>
      </c>
      <c r="H1454" s="3" t="str">
        <f>CONCATENATE("64240413753")</f>
        <v>64240413753</v>
      </c>
      <c r="I1454" s="3" t="s">
        <v>25</v>
      </c>
      <c r="J1454" s="3" t="s">
        <v>26</v>
      </c>
      <c r="K1454" s="3" t="str">
        <f t="shared" ref="K1454:K1517" si="48">CONCATENATE("")</f>
        <v/>
      </c>
      <c r="L1454" s="3" t="str">
        <f>CONCATENATE("11 11.1 4b")</f>
        <v>11 11.1 4b</v>
      </c>
      <c r="M1454" s="3" t="str">
        <f>CONCATENATE("BRRGRG94A28I156Q")</f>
        <v>BRRGRG94A28I156Q</v>
      </c>
      <c r="N1454" s="3" t="s">
        <v>1505</v>
      </c>
      <c r="O1454" s="3"/>
      <c r="P1454" s="4">
        <v>42783</v>
      </c>
      <c r="Q1454" s="3" t="s">
        <v>27</v>
      </c>
      <c r="R1454" s="3" t="s">
        <v>28</v>
      </c>
      <c r="S1454" s="3" t="s">
        <v>29</v>
      </c>
      <c r="T1454" s="5">
        <v>1412.24</v>
      </c>
      <c r="U1454" s="3">
        <v>608.96</v>
      </c>
      <c r="V1454" s="3">
        <v>562.35</v>
      </c>
      <c r="W1454" s="3">
        <v>240.93</v>
      </c>
    </row>
    <row r="1455" spans="1:23" ht="60.75">
      <c r="A1455" s="3" t="s">
        <v>23</v>
      </c>
      <c r="B1455" s="3" t="s">
        <v>24</v>
      </c>
      <c r="C1455" s="3" t="s">
        <v>35</v>
      </c>
      <c r="D1455" s="3" t="s">
        <v>43</v>
      </c>
      <c r="E1455" s="3" t="s">
        <v>32</v>
      </c>
      <c r="F1455" s="3" t="s">
        <v>119</v>
      </c>
      <c r="G1455" s="3">
        <v>2016</v>
      </c>
      <c r="H1455" s="3" t="str">
        <f>CONCATENATE("64240182697")</f>
        <v>64240182697</v>
      </c>
      <c r="I1455" s="3" t="s">
        <v>25</v>
      </c>
      <c r="J1455" s="3" t="s">
        <v>26</v>
      </c>
      <c r="K1455" s="3" t="str">
        <f t="shared" si="48"/>
        <v/>
      </c>
      <c r="L1455" s="3" t="str">
        <f>CONCATENATE("11 11.2 4b")</f>
        <v>11 11.2 4b</v>
      </c>
      <c r="M1455" s="3" t="str">
        <f>CONCATENATE("BBNMLT76E45G453C")</f>
        <v>BBNMLT76E45G453C</v>
      </c>
      <c r="N1455" s="3" t="s">
        <v>1506</v>
      </c>
      <c r="O1455" s="3"/>
      <c r="P1455" s="4">
        <v>42783</v>
      </c>
      <c r="Q1455" s="3" t="s">
        <v>27</v>
      </c>
      <c r="R1455" s="3" t="s">
        <v>28</v>
      </c>
      <c r="S1455" s="3" t="s">
        <v>29</v>
      </c>
      <c r="T1455" s="5">
        <v>3513.98</v>
      </c>
      <c r="U1455" s="5">
        <v>1515.23</v>
      </c>
      <c r="V1455" s="5">
        <v>1399.27</v>
      </c>
      <c r="W1455" s="3">
        <v>599.48</v>
      </c>
    </row>
    <row r="1456" spans="1:23" ht="36.75">
      <c r="A1456" s="3" t="s">
        <v>23</v>
      </c>
      <c r="B1456" s="3" t="s">
        <v>24</v>
      </c>
      <c r="C1456" s="3" t="s">
        <v>35</v>
      </c>
      <c r="D1456" s="3" t="s">
        <v>43</v>
      </c>
      <c r="E1456" s="3" t="s">
        <v>32</v>
      </c>
      <c r="F1456" s="3" t="s">
        <v>78</v>
      </c>
      <c r="G1456" s="3">
        <v>2016</v>
      </c>
      <c r="H1456" s="3" t="str">
        <f>CONCATENATE("64240356036")</f>
        <v>64240356036</v>
      </c>
      <c r="I1456" s="3" t="s">
        <v>25</v>
      </c>
      <c r="J1456" s="3" t="s">
        <v>26</v>
      </c>
      <c r="K1456" s="3" t="str">
        <f t="shared" si="48"/>
        <v/>
      </c>
      <c r="L1456" s="3" t="str">
        <f>CONCATENATE("11 11.2 4b")</f>
        <v>11 11.2 4b</v>
      </c>
      <c r="M1456" s="3" t="str">
        <f>CONCATENATE("01026620417")</f>
        <v>01026620417</v>
      </c>
      <c r="N1456" s="3" t="s">
        <v>1507</v>
      </c>
      <c r="O1456" s="3"/>
      <c r="P1456" s="4">
        <v>42783</v>
      </c>
      <c r="Q1456" s="3" t="s">
        <v>27</v>
      </c>
      <c r="R1456" s="3" t="s">
        <v>28</v>
      </c>
      <c r="S1456" s="3" t="s">
        <v>29</v>
      </c>
      <c r="T1456" s="5">
        <v>10364.950000000001</v>
      </c>
      <c r="U1456" s="5">
        <v>4469.37</v>
      </c>
      <c r="V1456" s="5">
        <v>4127.32</v>
      </c>
      <c r="W1456" s="5">
        <v>1768.26</v>
      </c>
    </row>
    <row r="1457" spans="1:23" ht="60.75">
      <c r="A1457" s="3" t="s">
        <v>23</v>
      </c>
      <c r="B1457" s="3" t="s">
        <v>24</v>
      </c>
      <c r="C1457" s="3" t="s">
        <v>35</v>
      </c>
      <c r="D1457" s="3" t="s">
        <v>39</v>
      </c>
      <c r="E1457" s="3" t="s">
        <v>32</v>
      </c>
      <c r="F1457" s="3" t="s">
        <v>69</v>
      </c>
      <c r="G1457" s="3">
        <v>2016</v>
      </c>
      <c r="H1457" s="3" t="str">
        <f>CONCATENATE("64240905477")</f>
        <v>64240905477</v>
      </c>
      <c r="I1457" s="3" t="s">
        <v>25</v>
      </c>
      <c r="J1457" s="3" t="s">
        <v>26</v>
      </c>
      <c r="K1457" s="3" t="str">
        <f t="shared" si="48"/>
        <v/>
      </c>
      <c r="L1457" s="3" t="str">
        <f>CONCATENATE("11 11.1 4b")</f>
        <v>11 11.1 4b</v>
      </c>
      <c r="M1457" s="3" t="str">
        <f>CONCATENATE("GSPSRN95H56I608Y")</f>
        <v>GSPSRN95H56I608Y</v>
      </c>
      <c r="N1457" s="3" t="s">
        <v>1508</v>
      </c>
      <c r="O1457" s="3"/>
      <c r="P1457" s="4">
        <v>42783</v>
      </c>
      <c r="Q1457" s="3" t="s">
        <v>27</v>
      </c>
      <c r="R1457" s="3" t="s">
        <v>28</v>
      </c>
      <c r="S1457" s="3" t="s">
        <v>29</v>
      </c>
      <c r="T1457" s="3">
        <v>722.48</v>
      </c>
      <c r="U1457" s="3">
        <v>311.52999999999997</v>
      </c>
      <c r="V1457" s="3">
        <v>287.69</v>
      </c>
      <c r="W1457" s="3">
        <v>123.26</v>
      </c>
    </row>
    <row r="1458" spans="1:23" ht="60.75">
      <c r="A1458" s="3" t="s">
        <v>23</v>
      </c>
      <c r="B1458" s="3" t="s">
        <v>24</v>
      </c>
      <c r="C1458" s="3" t="s">
        <v>35</v>
      </c>
      <c r="D1458" s="3" t="s">
        <v>43</v>
      </c>
      <c r="E1458" s="3" t="s">
        <v>32</v>
      </c>
      <c r="F1458" s="3" t="s">
        <v>78</v>
      </c>
      <c r="G1458" s="3">
        <v>2016</v>
      </c>
      <c r="H1458" s="3" t="str">
        <f>CONCATENATE("64240911889")</f>
        <v>64240911889</v>
      </c>
      <c r="I1458" s="3" t="s">
        <v>25</v>
      </c>
      <c r="J1458" s="3" t="s">
        <v>26</v>
      </c>
      <c r="K1458" s="3" t="str">
        <f t="shared" si="48"/>
        <v/>
      </c>
      <c r="L1458" s="3" t="str">
        <f>CONCATENATE("11 11.2 4b")</f>
        <v>11 11.2 4b</v>
      </c>
      <c r="M1458" s="3" t="str">
        <f>CONCATENATE("BDRRSU53B23Z133Q")</f>
        <v>BDRRSU53B23Z133Q</v>
      </c>
      <c r="N1458" s="3" t="s">
        <v>1509</v>
      </c>
      <c r="O1458" s="3"/>
      <c r="P1458" s="4">
        <v>42783</v>
      </c>
      <c r="Q1458" s="3" t="s">
        <v>27</v>
      </c>
      <c r="R1458" s="3" t="s">
        <v>28</v>
      </c>
      <c r="S1458" s="3" t="s">
        <v>29</v>
      </c>
      <c r="T1458" s="5">
        <v>1349.08</v>
      </c>
      <c r="U1458" s="3">
        <v>581.72</v>
      </c>
      <c r="V1458" s="3">
        <v>537.20000000000005</v>
      </c>
      <c r="W1458" s="3">
        <v>230.16</v>
      </c>
    </row>
    <row r="1459" spans="1:23" ht="60.75">
      <c r="A1459" s="3" t="s">
        <v>23</v>
      </c>
      <c r="B1459" s="3" t="s">
        <v>24</v>
      </c>
      <c r="C1459" s="3" t="s">
        <v>35</v>
      </c>
      <c r="D1459" s="3" t="s">
        <v>48</v>
      </c>
      <c r="E1459" s="3" t="s">
        <v>30</v>
      </c>
      <c r="F1459" s="3" t="s">
        <v>157</v>
      </c>
      <c r="G1459" s="3">
        <v>2016</v>
      </c>
      <c r="H1459" s="3" t="str">
        <f>CONCATENATE("64240614947")</f>
        <v>64240614947</v>
      </c>
      <c r="I1459" s="3" t="s">
        <v>25</v>
      </c>
      <c r="J1459" s="3" t="s">
        <v>26</v>
      </c>
      <c r="K1459" s="3" t="str">
        <f t="shared" si="48"/>
        <v/>
      </c>
      <c r="L1459" s="3" t="str">
        <f>CONCATENATE("11 11.2 4b")</f>
        <v>11 11.2 4b</v>
      </c>
      <c r="M1459" s="3" t="str">
        <f>CONCATENATE("GNTSNT52D43I436L")</f>
        <v>GNTSNT52D43I436L</v>
      </c>
      <c r="N1459" s="3" t="s">
        <v>1510</v>
      </c>
      <c r="O1459" s="3"/>
      <c r="P1459" s="4">
        <v>42783</v>
      </c>
      <c r="Q1459" s="3" t="s">
        <v>27</v>
      </c>
      <c r="R1459" s="3" t="s">
        <v>28</v>
      </c>
      <c r="S1459" s="3" t="s">
        <v>29</v>
      </c>
      <c r="T1459" s="5">
        <v>1397.57</v>
      </c>
      <c r="U1459" s="3">
        <v>602.63</v>
      </c>
      <c r="V1459" s="3">
        <v>556.51</v>
      </c>
      <c r="W1459" s="3">
        <v>238.43</v>
      </c>
    </row>
    <row r="1460" spans="1:23" ht="60.75">
      <c r="A1460" s="3" t="s">
        <v>23</v>
      </c>
      <c r="B1460" s="3" t="s">
        <v>24</v>
      </c>
      <c r="C1460" s="3" t="s">
        <v>35</v>
      </c>
      <c r="D1460" s="3" t="s">
        <v>48</v>
      </c>
      <c r="E1460" s="3" t="s">
        <v>30</v>
      </c>
      <c r="F1460" s="3" t="s">
        <v>236</v>
      </c>
      <c r="G1460" s="3">
        <v>2016</v>
      </c>
      <c r="H1460" s="3" t="str">
        <f>CONCATENATE("64240615423")</f>
        <v>64240615423</v>
      </c>
      <c r="I1460" s="3" t="s">
        <v>25</v>
      </c>
      <c r="J1460" s="3" t="s">
        <v>26</v>
      </c>
      <c r="K1460" s="3" t="str">
        <f t="shared" si="48"/>
        <v/>
      </c>
      <c r="L1460" s="3" t="str">
        <f>CONCATENATE("11 11.2 4b")</f>
        <v>11 11.2 4b</v>
      </c>
      <c r="M1460" s="3" t="str">
        <f>CONCATENATE("TMSTTV58H01A329E")</f>
        <v>TMSTTV58H01A329E</v>
      </c>
      <c r="N1460" s="3" t="s">
        <v>1511</v>
      </c>
      <c r="O1460" s="3"/>
      <c r="P1460" s="4">
        <v>42783</v>
      </c>
      <c r="Q1460" s="3" t="s">
        <v>27</v>
      </c>
      <c r="R1460" s="3" t="s">
        <v>28</v>
      </c>
      <c r="S1460" s="3" t="s">
        <v>29</v>
      </c>
      <c r="T1460" s="5">
        <v>12122.8</v>
      </c>
      <c r="U1460" s="5">
        <v>5227.3500000000004</v>
      </c>
      <c r="V1460" s="5">
        <v>4827.3</v>
      </c>
      <c r="W1460" s="5">
        <v>2068.15</v>
      </c>
    </row>
    <row r="1461" spans="1:23" ht="36.75">
      <c r="A1461" s="3" t="s">
        <v>23</v>
      </c>
      <c r="B1461" s="3" t="s">
        <v>24</v>
      </c>
      <c r="C1461" s="3" t="s">
        <v>35</v>
      </c>
      <c r="D1461" s="3" t="s">
        <v>39</v>
      </c>
      <c r="E1461" s="3" t="s">
        <v>32</v>
      </c>
      <c r="F1461" s="3" t="s">
        <v>117</v>
      </c>
      <c r="G1461" s="3">
        <v>2016</v>
      </c>
      <c r="H1461" s="3" t="str">
        <f>CONCATENATE("64240485983")</f>
        <v>64240485983</v>
      </c>
      <c r="I1461" s="3" t="s">
        <v>25</v>
      </c>
      <c r="J1461" s="3" t="s">
        <v>26</v>
      </c>
      <c r="K1461" s="3" t="str">
        <f t="shared" si="48"/>
        <v/>
      </c>
      <c r="L1461" s="3" t="str">
        <f>CONCATENATE("11 11.2 4b")</f>
        <v>11 11.2 4b</v>
      </c>
      <c r="M1461" s="3" t="str">
        <f>CONCATENATE("01143960423")</f>
        <v>01143960423</v>
      </c>
      <c r="N1461" s="3" t="s">
        <v>1512</v>
      </c>
      <c r="O1461" s="3"/>
      <c r="P1461" s="4">
        <v>42783</v>
      </c>
      <c r="Q1461" s="3" t="s">
        <v>27</v>
      </c>
      <c r="R1461" s="3" t="s">
        <v>28</v>
      </c>
      <c r="S1461" s="3" t="s">
        <v>29</v>
      </c>
      <c r="T1461" s="5">
        <v>3364.44</v>
      </c>
      <c r="U1461" s="5">
        <v>1450.75</v>
      </c>
      <c r="V1461" s="5">
        <v>1339.72</v>
      </c>
      <c r="W1461" s="3">
        <v>573.97</v>
      </c>
    </row>
    <row r="1462" spans="1:23" ht="60.75">
      <c r="A1462" s="3" t="s">
        <v>23</v>
      </c>
      <c r="B1462" s="3" t="s">
        <v>24</v>
      </c>
      <c r="C1462" s="3" t="s">
        <v>35</v>
      </c>
      <c r="D1462" s="3" t="s">
        <v>36</v>
      </c>
      <c r="E1462" s="3" t="s">
        <v>33</v>
      </c>
      <c r="F1462" s="3" t="s">
        <v>89</v>
      </c>
      <c r="G1462" s="3">
        <v>2016</v>
      </c>
      <c r="H1462" s="3" t="str">
        <f>CONCATENATE("64210822710")</f>
        <v>64210822710</v>
      </c>
      <c r="I1462" s="3" t="s">
        <v>25</v>
      </c>
      <c r="J1462" s="3" t="s">
        <v>26</v>
      </c>
      <c r="K1462" s="3" t="str">
        <f t="shared" si="48"/>
        <v/>
      </c>
      <c r="L1462" s="3" t="str">
        <f>CONCATENATE("13 13.1 4a")</f>
        <v>13 13.1 4a</v>
      </c>
      <c r="M1462" s="3" t="str">
        <f>CONCATENATE("DMSVCN83H42H501I")</f>
        <v>DMSVCN83H42H501I</v>
      </c>
      <c r="N1462" s="3" t="s">
        <v>1513</v>
      </c>
      <c r="O1462" s="3"/>
      <c r="P1462" s="4">
        <v>42783</v>
      </c>
      <c r="Q1462" s="3" t="s">
        <v>27</v>
      </c>
      <c r="R1462" s="3" t="s">
        <v>28</v>
      </c>
      <c r="S1462" s="3" t="s">
        <v>29</v>
      </c>
      <c r="T1462" s="5">
        <v>3736.37</v>
      </c>
      <c r="U1462" s="5">
        <v>1611.12</v>
      </c>
      <c r="V1462" s="5">
        <v>1487.82</v>
      </c>
      <c r="W1462" s="3">
        <v>637.42999999999995</v>
      </c>
    </row>
    <row r="1463" spans="1:23" ht="72.75">
      <c r="A1463" s="3" t="s">
        <v>23</v>
      </c>
      <c r="B1463" s="3" t="s">
        <v>24</v>
      </c>
      <c r="C1463" s="3" t="s">
        <v>35</v>
      </c>
      <c r="D1463" s="3" t="s">
        <v>43</v>
      </c>
      <c r="E1463" s="3" t="s">
        <v>30</v>
      </c>
      <c r="F1463" s="3" t="s">
        <v>104</v>
      </c>
      <c r="G1463" s="3">
        <v>2016</v>
      </c>
      <c r="H1463" s="3" t="str">
        <f>CONCATENATE("64240217030")</f>
        <v>64240217030</v>
      </c>
      <c r="I1463" s="3" t="s">
        <v>25</v>
      </c>
      <c r="J1463" s="3" t="s">
        <v>26</v>
      </c>
      <c r="K1463" s="3" t="str">
        <f t="shared" si="48"/>
        <v/>
      </c>
      <c r="L1463" s="3" t="str">
        <f>CONCATENATE("11 11.2 4b")</f>
        <v>11 11.2 4b</v>
      </c>
      <c r="M1463" s="3" t="str">
        <f>CONCATENATE("MDRNMR49T70L500M")</f>
        <v>MDRNMR49T70L500M</v>
      </c>
      <c r="N1463" s="3" t="s">
        <v>1514</v>
      </c>
      <c r="O1463" s="3"/>
      <c r="P1463" s="4">
        <v>42783</v>
      </c>
      <c r="Q1463" s="3" t="s">
        <v>27</v>
      </c>
      <c r="R1463" s="3" t="s">
        <v>28</v>
      </c>
      <c r="S1463" s="3" t="s">
        <v>29</v>
      </c>
      <c r="T1463" s="5">
        <v>2677.02</v>
      </c>
      <c r="U1463" s="5">
        <v>1154.33</v>
      </c>
      <c r="V1463" s="5">
        <v>1065.99</v>
      </c>
      <c r="W1463" s="3">
        <v>456.7</v>
      </c>
    </row>
    <row r="1464" spans="1:23" ht="36.75">
      <c r="A1464" s="3" t="s">
        <v>23</v>
      </c>
      <c r="B1464" s="3" t="s">
        <v>24</v>
      </c>
      <c r="C1464" s="3" t="s">
        <v>35</v>
      </c>
      <c r="D1464" s="3" t="s">
        <v>48</v>
      </c>
      <c r="E1464" s="3" t="s">
        <v>49</v>
      </c>
      <c r="F1464" s="3" t="s">
        <v>50</v>
      </c>
      <c r="G1464" s="3">
        <v>2016</v>
      </c>
      <c r="H1464" s="3" t="str">
        <f>CONCATENATE("64240622148")</f>
        <v>64240622148</v>
      </c>
      <c r="I1464" s="3" t="s">
        <v>25</v>
      </c>
      <c r="J1464" s="3" t="s">
        <v>26</v>
      </c>
      <c r="K1464" s="3" t="str">
        <f t="shared" si="48"/>
        <v/>
      </c>
      <c r="L1464" s="3" t="str">
        <f>CONCATENATE("11 11.1 4b")</f>
        <v>11 11.1 4b</v>
      </c>
      <c r="M1464" s="3" t="str">
        <f>CONCATENATE("01913780431")</f>
        <v>01913780431</v>
      </c>
      <c r="N1464" s="3" t="s">
        <v>1515</v>
      </c>
      <c r="O1464" s="3"/>
      <c r="P1464" s="4">
        <v>42783</v>
      </c>
      <c r="Q1464" s="3" t="s">
        <v>27</v>
      </c>
      <c r="R1464" s="3" t="s">
        <v>28</v>
      </c>
      <c r="S1464" s="3" t="s">
        <v>29</v>
      </c>
      <c r="T1464" s="5">
        <v>2259.9499999999998</v>
      </c>
      <c r="U1464" s="3">
        <v>974.49</v>
      </c>
      <c r="V1464" s="3">
        <v>899.91</v>
      </c>
      <c r="W1464" s="3">
        <v>385.55</v>
      </c>
    </row>
    <row r="1465" spans="1:23" ht="72.75">
      <c r="A1465" s="3" t="s">
        <v>23</v>
      </c>
      <c r="B1465" s="3" t="s">
        <v>24</v>
      </c>
      <c r="C1465" s="3" t="s">
        <v>35</v>
      </c>
      <c r="D1465" s="3" t="s">
        <v>48</v>
      </c>
      <c r="E1465" s="3" t="s">
        <v>30</v>
      </c>
      <c r="F1465" s="3" t="s">
        <v>91</v>
      </c>
      <c r="G1465" s="3">
        <v>2016</v>
      </c>
      <c r="H1465" s="3" t="str">
        <f>CONCATENATE("64240318259")</f>
        <v>64240318259</v>
      </c>
      <c r="I1465" s="3" t="s">
        <v>25</v>
      </c>
      <c r="J1465" s="3" t="s">
        <v>26</v>
      </c>
      <c r="K1465" s="3" t="str">
        <f t="shared" si="48"/>
        <v/>
      </c>
      <c r="L1465" s="3" t="str">
        <f t="shared" ref="L1465:L1474" si="49">CONCATENATE("11 11.2 4b")</f>
        <v>11 11.2 4b</v>
      </c>
      <c r="M1465" s="3" t="str">
        <f>CONCATENATE("RCCDVD60M25D564G")</f>
        <v>RCCDVD60M25D564G</v>
      </c>
      <c r="N1465" s="3" t="s">
        <v>1516</v>
      </c>
      <c r="O1465" s="3"/>
      <c r="P1465" s="4">
        <v>42783</v>
      </c>
      <c r="Q1465" s="3" t="s">
        <v>27</v>
      </c>
      <c r="R1465" s="3" t="s">
        <v>28</v>
      </c>
      <c r="S1465" s="3" t="s">
        <v>29</v>
      </c>
      <c r="T1465" s="5">
        <v>3677.45</v>
      </c>
      <c r="U1465" s="5">
        <v>1585.72</v>
      </c>
      <c r="V1465" s="5">
        <v>1464.36</v>
      </c>
      <c r="W1465" s="3">
        <v>627.37</v>
      </c>
    </row>
    <row r="1466" spans="1:23" ht="36.75">
      <c r="A1466" s="3" t="s">
        <v>23</v>
      </c>
      <c r="B1466" s="3" t="s">
        <v>24</v>
      </c>
      <c r="C1466" s="3" t="s">
        <v>35</v>
      </c>
      <c r="D1466" s="3" t="s">
        <v>48</v>
      </c>
      <c r="E1466" s="3" t="s">
        <v>30</v>
      </c>
      <c r="F1466" s="3" t="s">
        <v>111</v>
      </c>
      <c r="G1466" s="3">
        <v>2016</v>
      </c>
      <c r="H1466" s="3" t="str">
        <f>CONCATENATE("64240712469")</f>
        <v>64240712469</v>
      </c>
      <c r="I1466" s="3" t="s">
        <v>25</v>
      </c>
      <c r="J1466" s="3" t="s">
        <v>26</v>
      </c>
      <c r="K1466" s="3" t="str">
        <f t="shared" si="48"/>
        <v/>
      </c>
      <c r="L1466" s="3" t="str">
        <f t="shared" si="49"/>
        <v>11 11.2 4b</v>
      </c>
      <c r="M1466" s="3" t="str">
        <f>CONCATENATE("01666710437")</f>
        <v>01666710437</v>
      </c>
      <c r="N1466" s="3" t="s">
        <v>1517</v>
      </c>
      <c r="O1466" s="3"/>
      <c r="P1466" s="4">
        <v>42783</v>
      </c>
      <c r="Q1466" s="3" t="s">
        <v>27</v>
      </c>
      <c r="R1466" s="3" t="s">
        <v>28</v>
      </c>
      <c r="S1466" s="3" t="s">
        <v>29</v>
      </c>
      <c r="T1466" s="5">
        <v>16062.31</v>
      </c>
      <c r="U1466" s="5">
        <v>6926.07</v>
      </c>
      <c r="V1466" s="5">
        <v>6396.01</v>
      </c>
      <c r="W1466" s="5">
        <v>2740.23</v>
      </c>
    </row>
    <row r="1467" spans="1:23" ht="36.75">
      <c r="A1467" s="3" t="s">
        <v>23</v>
      </c>
      <c r="B1467" s="3" t="s">
        <v>24</v>
      </c>
      <c r="C1467" s="3" t="s">
        <v>35</v>
      </c>
      <c r="D1467" s="3" t="s">
        <v>48</v>
      </c>
      <c r="E1467" s="3" t="s">
        <v>49</v>
      </c>
      <c r="F1467" s="3" t="s">
        <v>74</v>
      </c>
      <c r="G1467" s="3">
        <v>2016</v>
      </c>
      <c r="H1467" s="3" t="str">
        <f>CONCATENATE("64240447843")</f>
        <v>64240447843</v>
      </c>
      <c r="I1467" s="3" t="s">
        <v>25</v>
      </c>
      <c r="J1467" s="3" t="s">
        <v>26</v>
      </c>
      <c r="K1467" s="3" t="str">
        <f t="shared" si="48"/>
        <v/>
      </c>
      <c r="L1467" s="3" t="str">
        <f t="shared" si="49"/>
        <v>11 11.2 4b</v>
      </c>
      <c r="M1467" s="3" t="str">
        <f>CONCATENATE("01717410433")</f>
        <v>01717410433</v>
      </c>
      <c r="N1467" s="3" t="s">
        <v>1518</v>
      </c>
      <c r="O1467" s="3"/>
      <c r="P1467" s="4">
        <v>42783</v>
      </c>
      <c r="Q1467" s="3" t="s">
        <v>27</v>
      </c>
      <c r="R1467" s="3" t="s">
        <v>28</v>
      </c>
      <c r="S1467" s="3" t="s">
        <v>29</v>
      </c>
      <c r="T1467" s="5">
        <v>9817.76</v>
      </c>
      <c r="U1467" s="5">
        <v>4233.42</v>
      </c>
      <c r="V1467" s="5">
        <v>3909.43</v>
      </c>
      <c r="W1467" s="5">
        <v>1674.91</v>
      </c>
    </row>
    <row r="1468" spans="1:23" ht="60.75">
      <c r="A1468" s="3" t="s">
        <v>23</v>
      </c>
      <c r="B1468" s="3" t="s">
        <v>24</v>
      </c>
      <c r="C1468" s="3" t="s">
        <v>35</v>
      </c>
      <c r="D1468" s="3" t="s">
        <v>48</v>
      </c>
      <c r="E1468" s="3" t="s">
        <v>30</v>
      </c>
      <c r="F1468" s="3" t="s">
        <v>157</v>
      </c>
      <c r="G1468" s="3">
        <v>2016</v>
      </c>
      <c r="H1468" s="3" t="str">
        <f>CONCATENATE("64240369179")</f>
        <v>64240369179</v>
      </c>
      <c r="I1468" s="3" t="s">
        <v>25</v>
      </c>
      <c r="J1468" s="3" t="s">
        <v>26</v>
      </c>
      <c r="K1468" s="3" t="str">
        <f t="shared" si="48"/>
        <v/>
      </c>
      <c r="L1468" s="3" t="str">
        <f t="shared" si="49"/>
        <v>11 11.2 4b</v>
      </c>
      <c r="M1468" s="3" t="str">
        <f>CONCATENATE("MCHMRA64S14G436B")</f>
        <v>MCHMRA64S14G436B</v>
      </c>
      <c r="N1468" s="3" t="s">
        <v>1519</v>
      </c>
      <c r="O1468" s="3"/>
      <c r="P1468" s="4">
        <v>42783</v>
      </c>
      <c r="Q1468" s="3" t="s">
        <v>27</v>
      </c>
      <c r="R1468" s="3" t="s">
        <v>28</v>
      </c>
      <c r="S1468" s="3" t="s">
        <v>29</v>
      </c>
      <c r="T1468" s="5">
        <v>2139.63</v>
      </c>
      <c r="U1468" s="3">
        <v>922.61</v>
      </c>
      <c r="V1468" s="3">
        <v>852</v>
      </c>
      <c r="W1468" s="3">
        <v>365.02</v>
      </c>
    </row>
    <row r="1469" spans="1:23" ht="60.75">
      <c r="A1469" s="3" t="s">
        <v>23</v>
      </c>
      <c r="B1469" s="3" t="s">
        <v>24</v>
      </c>
      <c r="C1469" s="3" t="s">
        <v>35</v>
      </c>
      <c r="D1469" s="3" t="s">
        <v>48</v>
      </c>
      <c r="E1469" s="3" t="s">
        <v>30</v>
      </c>
      <c r="F1469" s="3" t="s">
        <v>157</v>
      </c>
      <c r="G1469" s="3">
        <v>2016</v>
      </c>
      <c r="H1469" s="3" t="str">
        <f>CONCATENATE("64240307914")</f>
        <v>64240307914</v>
      </c>
      <c r="I1469" s="3" t="s">
        <v>25</v>
      </c>
      <c r="J1469" s="3" t="s">
        <v>26</v>
      </c>
      <c r="K1469" s="3" t="str">
        <f t="shared" si="48"/>
        <v/>
      </c>
      <c r="L1469" s="3" t="str">
        <f t="shared" si="49"/>
        <v>11 11.2 4b</v>
      </c>
      <c r="M1469" s="3" t="str">
        <f>CONCATENATE("FRTSRN65L70H501F")</f>
        <v>FRTSRN65L70H501F</v>
      </c>
      <c r="N1469" s="3" t="s">
        <v>1520</v>
      </c>
      <c r="O1469" s="3"/>
      <c r="P1469" s="4">
        <v>42783</v>
      </c>
      <c r="Q1469" s="3" t="s">
        <v>27</v>
      </c>
      <c r="R1469" s="3" t="s">
        <v>28</v>
      </c>
      <c r="S1469" s="3" t="s">
        <v>29</v>
      </c>
      <c r="T1469" s="5">
        <v>4412.6899999999996</v>
      </c>
      <c r="U1469" s="5">
        <v>1902.75</v>
      </c>
      <c r="V1469" s="5">
        <v>1757.13</v>
      </c>
      <c r="W1469" s="3">
        <v>752.81</v>
      </c>
    </row>
    <row r="1470" spans="1:23" ht="60.75">
      <c r="A1470" s="3" t="s">
        <v>23</v>
      </c>
      <c r="B1470" s="3" t="s">
        <v>24</v>
      </c>
      <c r="C1470" s="3" t="s">
        <v>35</v>
      </c>
      <c r="D1470" s="3" t="s">
        <v>43</v>
      </c>
      <c r="E1470" s="3" t="s">
        <v>32</v>
      </c>
      <c r="F1470" s="3" t="s">
        <v>335</v>
      </c>
      <c r="G1470" s="3">
        <v>2016</v>
      </c>
      <c r="H1470" s="3" t="str">
        <f>CONCATENATE("64240608931")</f>
        <v>64240608931</v>
      </c>
      <c r="I1470" s="3" t="s">
        <v>25</v>
      </c>
      <c r="J1470" s="3" t="s">
        <v>26</v>
      </c>
      <c r="K1470" s="3" t="str">
        <f t="shared" si="48"/>
        <v/>
      </c>
      <c r="L1470" s="3" t="str">
        <f t="shared" si="49"/>
        <v>11 11.2 4b</v>
      </c>
      <c r="M1470" s="3" t="str">
        <f>CONCATENATE("GLNFRC55L17I459O")</f>
        <v>GLNFRC55L17I459O</v>
      </c>
      <c r="N1470" s="3" t="s">
        <v>1521</v>
      </c>
      <c r="O1470" s="3"/>
      <c r="P1470" s="4">
        <v>42783</v>
      </c>
      <c r="Q1470" s="3" t="s">
        <v>27</v>
      </c>
      <c r="R1470" s="3" t="s">
        <v>28</v>
      </c>
      <c r="S1470" s="3" t="s">
        <v>29</v>
      </c>
      <c r="T1470" s="3">
        <v>525.49</v>
      </c>
      <c r="U1470" s="3">
        <v>226.59</v>
      </c>
      <c r="V1470" s="3">
        <v>209.25</v>
      </c>
      <c r="W1470" s="3">
        <v>89.65</v>
      </c>
    </row>
    <row r="1471" spans="1:23" ht="60.75">
      <c r="A1471" s="3" t="s">
        <v>23</v>
      </c>
      <c r="B1471" s="3" t="s">
        <v>24</v>
      </c>
      <c r="C1471" s="3" t="s">
        <v>35</v>
      </c>
      <c r="D1471" s="3" t="s">
        <v>43</v>
      </c>
      <c r="E1471" s="3" t="s">
        <v>49</v>
      </c>
      <c r="F1471" s="3" t="s">
        <v>139</v>
      </c>
      <c r="G1471" s="3">
        <v>2016</v>
      </c>
      <c r="H1471" s="3" t="str">
        <f>CONCATENATE("64240320511")</f>
        <v>64240320511</v>
      </c>
      <c r="I1471" s="3" t="s">
        <v>25</v>
      </c>
      <c r="J1471" s="3" t="s">
        <v>26</v>
      </c>
      <c r="K1471" s="3" t="str">
        <f t="shared" si="48"/>
        <v/>
      </c>
      <c r="L1471" s="3" t="str">
        <f t="shared" si="49"/>
        <v>11 11.2 4b</v>
      </c>
      <c r="M1471" s="3" t="str">
        <f>CONCATENATE("BLDSLD31P26G453U")</f>
        <v>BLDSLD31P26G453U</v>
      </c>
      <c r="N1471" s="3" t="s">
        <v>1522</v>
      </c>
      <c r="O1471" s="3"/>
      <c r="P1471" s="4">
        <v>42783</v>
      </c>
      <c r="Q1471" s="3" t="s">
        <v>27</v>
      </c>
      <c r="R1471" s="3" t="s">
        <v>28</v>
      </c>
      <c r="S1471" s="3" t="s">
        <v>29</v>
      </c>
      <c r="T1471" s="5">
        <v>1194.2</v>
      </c>
      <c r="U1471" s="3">
        <v>514.94000000000005</v>
      </c>
      <c r="V1471" s="3">
        <v>475.53</v>
      </c>
      <c r="W1471" s="3">
        <v>203.73</v>
      </c>
    </row>
    <row r="1472" spans="1:23" ht="36.75">
      <c r="A1472" s="3" t="s">
        <v>23</v>
      </c>
      <c r="B1472" s="3" t="s">
        <v>24</v>
      </c>
      <c r="C1472" s="3" t="s">
        <v>35</v>
      </c>
      <c r="D1472" s="3" t="s">
        <v>43</v>
      </c>
      <c r="E1472" s="3" t="s">
        <v>34</v>
      </c>
      <c r="F1472" s="3" t="s">
        <v>146</v>
      </c>
      <c r="G1472" s="3">
        <v>2016</v>
      </c>
      <c r="H1472" s="3" t="str">
        <f>CONCATENATE("64240586657")</f>
        <v>64240586657</v>
      </c>
      <c r="I1472" s="3" t="s">
        <v>25</v>
      </c>
      <c r="J1472" s="3" t="s">
        <v>26</v>
      </c>
      <c r="K1472" s="3" t="str">
        <f t="shared" si="48"/>
        <v/>
      </c>
      <c r="L1472" s="3" t="str">
        <f t="shared" si="49"/>
        <v>11 11.2 4b</v>
      </c>
      <c r="M1472" s="3" t="str">
        <f>CONCATENATE("01343820419")</f>
        <v>01343820419</v>
      </c>
      <c r="N1472" s="3" t="s">
        <v>1523</v>
      </c>
      <c r="O1472" s="3"/>
      <c r="P1472" s="4">
        <v>42783</v>
      </c>
      <c r="Q1472" s="3" t="s">
        <v>27</v>
      </c>
      <c r="R1472" s="3" t="s">
        <v>28</v>
      </c>
      <c r="S1472" s="3" t="s">
        <v>29</v>
      </c>
      <c r="T1472" s="5">
        <v>16578.560000000001</v>
      </c>
      <c r="U1472" s="5">
        <v>7148.68</v>
      </c>
      <c r="V1472" s="5">
        <v>6601.58</v>
      </c>
      <c r="W1472" s="5">
        <v>2828.3</v>
      </c>
    </row>
    <row r="1473" spans="1:23" ht="60.75">
      <c r="A1473" s="3" t="s">
        <v>23</v>
      </c>
      <c r="B1473" s="3" t="s">
        <v>24</v>
      </c>
      <c r="C1473" s="3" t="s">
        <v>35</v>
      </c>
      <c r="D1473" s="3" t="s">
        <v>39</v>
      </c>
      <c r="E1473" s="3" t="s">
        <v>32</v>
      </c>
      <c r="F1473" s="3" t="s">
        <v>215</v>
      </c>
      <c r="G1473" s="3">
        <v>2016</v>
      </c>
      <c r="H1473" s="3" t="str">
        <f>CONCATENATE("64240345195")</f>
        <v>64240345195</v>
      </c>
      <c r="I1473" s="3" t="s">
        <v>25</v>
      </c>
      <c r="J1473" s="3" t="s">
        <v>26</v>
      </c>
      <c r="K1473" s="3" t="str">
        <f t="shared" si="48"/>
        <v/>
      </c>
      <c r="L1473" s="3" t="str">
        <f t="shared" si="49"/>
        <v>11 11.2 4b</v>
      </c>
      <c r="M1473" s="3" t="str">
        <f>CONCATENATE("SMNMRS54B49I653D")</f>
        <v>SMNMRS54B49I653D</v>
      </c>
      <c r="N1473" s="3" t="s">
        <v>1524</v>
      </c>
      <c r="O1473" s="3"/>
      <c r="P1473" s="4">
        <v>42783</v>
      </c>
      <c r="Q1473" s="3" t="s">
        <v>27</v>
      </c>
      <c r="R1473" s="3" t="s">
        <v>28</v>
      </c>
      <c r="S1473" s="3" t="s">
        <v>29</v>
      </c>
      <c r="T1473" s="5">
        <v>3259.77</v>
      </c>
      <c r="U1473" s="5">
        <v>1405.61</v>
      </c>
      <c r="V1473" s="5">
        <v>1298.04</v>
      </c>
      <c r="W1473" s="3">
        <v>556.12</v>
      </c>
    </row>
    <row r="1474" spans="1:23" ht="60.75">
      <c r="A1474" s="3" t="s">
        <v>23</v>
      </c>
      <c r="B1474" s="3" t="s">
        <v>24</v>
      </c>
      <c r="C1474" s="3" t="s">
        <v>35</v>
      </c>
      <c r="D1474" s="3" t="s">
        <v>39</v>
      </c>
      <c r="E1474" s="3" t="s">
        <v>30</v>
      </c>
      <c r="F1474" s="3" t="s">
        <v>84</v>
      </c>
      <c r="G1474" s="3">
        <v>2016</v>
      </c>
      <c r="H1474" s="3" t="str">
        <f>CONCATENATE("64240244778")</f>
        <v>64240244778</v>
      </c>
      <c r="I1474" s="3" t="s">
        <v>25</v>
      </c>
      <c r="J1474" s="3" t="s">
        <v>26</v>
      </c>
      <c r="K1474" s="3" t="str">
        <f t="shared" si="48"/>
        <v/>
      </c>
      <c r="L1474" s="3" t="str">
        <f t="shared" si="49"/>
        <v>11 11.2 4b</v>
      </c>
      <c r="M1474" s="3" t="str">
        <f>CONCATENATE("GLMMRA73C43D451N")</f>
        <v>GLMMRA73C43D451N</v>
      </c>
      <c r="N1474" s="3" t="s">
        <v>1525</v>
      </c>
      <c r="O1474" s="3"/>
      <c r="P1474" s="4">
        <v>42783</v>
      </c>
      <c r="Q1474" s="3" t="s">
        <v>27</v>
      </c>
      <c r="R1474" s="3" t="s">
        <v>28</v>
      </c>
      <c r="S1474" s="3" t="s">
        <v>29</v>
      </c>
      <c r="T1474" s="5">
        <v>1082.08</v>
      </c>
      <c r="U1474" s="3">
        <v>466.59</v>
      </c>
      <c r="V1474" s="3">
        <v>430.88</v>
      </c>
      <c r="W1474" s="3">
        <v>184.61</v>
      </c>
    </row>
    <row r="1475" spans="1:23" ht="60.75">
      <c r="A1475" s="3" t="s">
        <v>23</v>
      </c>
      <c r="B1475" s="3" t="s">
        <v>24</v>
      </c>
      <c r="C1475" s="3" t="s">
        <v>35</v>
      </c>
      <c r="D1475" s="3" t="s">
        <v>48</v>
      </c>
      <c r="E1475" s="3" t="s">
        <v>49</v>
      </c>
      <c r="F1475" s="3" t="s">
        <v>50</v>
      </c>
      <c r="G1475" s="3">
        <v>2016</v>
      </c>
      <c r="H1475" s="3" t="str">
        <f>CONCATENATE("64240599445")</f>
        <v>64240599445</v>
      </c>
      <c r="I1475" s="3" t="s">
        <v>25</v>
      </c>
      <c r="J1475" s="3" t="s">
        <v>26</v>
      </c>
      <c r="K1475" s="3" t="str">
        <f t="shared" si="48"/>
        <v/>
      </c>
      <c r="L1475" s="3" t="str">
        <f>CONCATENATE("11 11.1 4b")</f>
        <v>11 11.1 4b</v>
      </c>
      <c r="M1475" s="3" t="str">
        <f>CONCATENATE("PRGSFN92T03E783D")</f>
        <v>PRGSFN92T03E783D</v>
      </c>
      <c r="N1475" s="3" t="s">
        <v>1526</v>
      </c>
      <c r="O1475" s="3"/>
      <c r="P1475" s="4">
        <v>42783</v>
      </c>
      <c r="Q1475" s="3" t="s">
        <v>27</v>
      </c>
      <c r="R1475" s="3" t="s">
        <v>28</v>
      </c>
      <c r="S1475" s="3" t="s">
        <v>29</v>
      </c>
      <c r="T1475" s="5">
        <v>3850.11</v>
      </c>
      <c r="U1475" s="5">
        <v>1660.17</v>
      </c>
      <c r="V1475" s="5">
        <v>1533.11</v>
      </c>
      <c r="W1475" s="3">
        <v>656.83</v>
      </c>
    </row>
    <row r="1476" spans="1:23" ht="60.75">
      <c r="A1476" s="3" t="s">
        <v>23</v>
      </c>
      <c r="B1476" s="3" t="s">
        <v>24</v>
      </c>
      <c r="C1476" s="3" t="s">
        <v>35</v>
      </c>
      <c r="D1476" s="3" t="s">
        <v>43</v>
      </c>
      <c r="E1476" s="3" t="s">
        <v>30</v>
      </c>
      <c r="F1476" s="3" t="s">
        <v>131</v>
      </c>
      <c r="G1476" s="3">
        <v>2016</v>
      </c>
      <c r="H1476" s="3" t="str">
        <f>CONCATENATE("64240749446")</f>
        <v>64240749446</v>
      </c>
      <c r="I1476" s="3" t="s">
        <v>25</v>
      </c>
      <c r="J1476" s="3" t="s">
        <v>26</v>
      </c>
      <c r="K1476" s="3" t="str">
        <f t="shared" si="48"/>
        <v/>
      </c>
      <c r="L1476" s="3" t="str">
        <f>CONCATENATE("11 11.1 4b")</f>
        <v>11 11.1 4b</v>
      </c>
      <c r="M1476" s="3" t="str">
        <f>CONCATENATE("MNCDNL67M08D749S")</f>
        <v>MNCDNL67M08D749S</v>
      </c>
      <c r="N1476" s="3" t="s">
        <v>1527</v>
      </c>
      <c r="O1476" s="3"/>
      <c r="P1476" s="4">
        <v>42783</v>
      </c>
      <c r="Q1476" s="3" t="s">
        <v>27</v>
      </c>
      <c r="R1476" s="3" t="s">
        <v>28</v>
      </c>
      <c r="S1476" s="3" t="s">
        <v>29</v>
      </c>
      <c r="T1476" s="5">
        <v>9744.43</v>
      </c>
      <c r="U1476" s="5">
        <v>4201.8</v>
      </c>
      <c r="V1476" s="5">
        <v>3880.23</v>
      </c>
      <c r="W1476" s="5">
        <v>1662.4</v>
      </c>
    </row>
    <row r="1477" spans="1:23" ht="60.75">
      <c r="A1477" s="3" t="s">
        <v>23</v>
      </c>
      <c r="B1477" s="3" t="s">
        <v>24</v>
      </c>
      <c r="C1477" s="3" t="s">
        <v>35</v>
      </c>
      <c r="D1477" s="3" t="s">
        <v>39</v>
      </c>
      <c r="E1477" s="3" t="s">
        <v>30</v>
      </c>
      <c r="F1477" s="3" t="s">
        <v>533</v>
      </c>
      <c r="G1477" s="3">
        <v>2016</v>
      </c>
      <c r="H1477" s="3" t="str">
        <f>CONCATENATE("64240425187")</f>
        <v>64240425187</v>
      </c>
      <c r="I1477" s="3" t="s">
        <v>25</v>
      </c>
      <c r="J1477" s="3" t="s">
        <v>26</v>
      </c>
      <c r="K1477" s="3" t="str">
        <f t="shared" si="48"/>
        <v/>
      </c>
      <c r="L1477" s="3" t="str">
        <f>CONCATENATE("11 11.1 4b")</f>
        <v>11 11.1 4b</v>
      </c>
      <c r="M1477" s="3" t="str">
        <f>CONCATENATE("TTVMRC84S07D451E")</f>
        <v>TTVMRC84S07D451E</v>
      </c>
      <c r="N1477" s="3" t="s">
        <v>1528</v>
      </c>
      <c r="O1477" s="3"/>
      <c r="P1477" s="4">
        <v>42783</v>
      </c>
      <c r="Q1477" s="3" t="s">
        <v>27</v>
      </c>
      <c r="R1477" s="3" t="s">
        <v>28</v>
      </c>
      <c r="S1477" s="3" t="s">
        <v>29</v>
      </c>
      <c r="T1477" s="5">
        <v>3565.49</v>
      </c>
      <c r="U1477" s="5">
        <v>1537.44</v>
      </c>
      <c r="V1477" s="5">
        <v>1419.78</v>
      </c>
      <c r="W1477" s="3">
        <v>608.27</v>
      </c>
    </row>
    <row r="1478" spans="1:23" ht="60.75">
      <c r="A1478" s="3" t="s">
        <v>23</v>
      </c>
      <c r="B1478" s="3" t="s">
        <v>24</v>
      </c>
      <c r="C1478" s="3" t="s">
        <v>35</v>
      </c>
      <c r="D1478" s="3" t="s">
        <v>43</v>
      </c>
      <c r="E1478" s="3" t="s">
        <v>30</v>
      </c>
      <c r="F1478" s="3" t="s">
        <v>199</v>
      </c>
      <c r="G1478" s="3">
        <v>2016</v>
      </c>
      <c r="H1478" s="3" t="str">
        <f>CONCATENATE("64210929622")</f>
        <v>64210929622</v>
      </c>
      <c r="I1478" s="3" t="s">
        <v>25</v>
      </c>
      <c r="J1478" s="3" t="s">
        <v>26</v>
      </c>
      <c r="K1478" s="3" t="str">
        <f t="shared" si="48"/>
        <v/>
      </c>
      <c r="L1478" s="3" t="str">
        <f>CONCATENATE("13 13.1 4a")</f>
        <v>13 13.1 4a</v>
      </c>
      <c r="M1478" s="3" t="str">
        <f>CONCATENATE("BNDPQL36C14G064Y")</f>
        <v>BNDPQL36C14G064Y</v>
      </c>
      <c r="N1478" s="3" t="s">
        <v>1529</v>
      </c>
      <c r="O1478" s="3"/>
      <c r="P1478" s="4">
        <v>42783</v>
      </c>
      <c r="Q1478" s="3" t="s">
        <v>27</v>
      </c>
      <c r="R1478" s="3" t="s">
        <v>28</v>
      </c>
      <c r="S1478" s="3" t="s">
        <v>29</v>
      </c>
      <c r="T1478" s="5">
        <v>4366.57</v>
      </c>
      <c r="U1478" s="5">
        <v>1882.86</v>
      </c>
      <c r="V1478" s="5">
        <v>1738.77</v>
      </c>
      <c r="W1478" s="3">
        <v>744.94</v>
      </c>
    </row>
    <row r="1479" spans="1:23" ht="60.75">
      <c r="A1479" s="3" t="s">
        <v>23</v>
      </c>
      <c r="B1479" s="3" t="s">
        <v>24</v>
      </c>
      <c r="C1479" s="3" t="s">
        <v>35</v>
      </c>
      <c r="D1479" s="3" t="s">
        <v>43</v>
      </c>
      <c r="E1479" s="3" t="s">
        <v>30</v>
      </c>
      <c r="F1479" s="3" t="s">
        <v>124</v>
      </c>
      <c r="G1479" s="3">
        <v>2016</v>
      </c>
      <c r="H1479" s="3" t="str">
        <f>CONCATENATE("64240438057")</f>
        <v>64240438057</v>
      </c>
      <c r="I1479" s="3" t="s">
        <v>25</v>
      </c>
      <c r="J1479" s="3" t="s">
        <v>26</v>
      </c>
      <c r="K1479" s="3" t="str">
        <f t="shared" si="48"/>
        <v/>
      </c>
      <c r="L1479" s="3" t="str">
        <f t="shared" ref="L1479:L1493" si="50">CONCATENATE("11 11.2 4b")</f>
        <v>11 11.2 4b</v>
      </c>
      <c r="M1479" s="3" t="str">
        <f>CONCATENATE("CRDRRT68T09I287N")</f>
        <v>CRDRRT68T09I287N</v>
      </c>
      <c r="N1479" s="3" t="s">
        <v>1530</v>
      </c>
      <c r="O1479" s="3"/>
      <c r="P1479" s="4">
        <v>42783</v>
      </c>
      <c r="Q1479" s="3" t="s">
        <v>27</v>
      </c>
      <c r="R1479" s="3" t="s">
        <v>28</v>
      </c>
      <c r="S1479" s="3" t="s">
        <v>29</v>
      </c>
      <c r="T1479" s="5">
        <v>9915.81</v>
      </c>
      <c r="U1479" s="5">
        <v>4275.7</v>
      </c>
      <c r="V1479" s="5">
        <v>3948.48</v>
      </c>
      <c r="W1479" s="5">
        <v>1691.63</v>
      </c>
    </row>
    <row r="1480" spans="1:23" ht="60.75">
      <c r="A1480" s="3" t="s">
        <v>23</v>
      </c>
      <c r="B1480" s="3" t="s">
        <v>24</v>
      </c>
      <c r="C1480" s="3" t="s">
        <v>35</v>
      </c>
      <c r="D1480" s="3" t="s">
        <v>48</v>
      </c>
      <c r="E1480" s="3" t="s">
        <v>30</v>
      </c>
      <c r="F1480" s="3" t="s">
        <v>157</v>
      </c>
      <c r="G1480" s="3">
        <v>2016</v>
      </c>
      <c r="H1480" s="3" t="str">
        <f>CONCATENATE("64240266441")</f>
        <v>64240266441</v>
      </c>
      <c r="I1480" s="3" t="s">
        <v>25</v>
      </c>
      <c r="J1480" s="3" t="s">
        <v>26</v>
      </c>
      <c r="K1480" s="3" t="str">
        <f t="shared" si="48"/>
        <v/>
      </c>
      <c r="L1480" s="3" t="str">
        <f t="shared" si="50"/>
        <v>11 11.2 4b</v>
      </c>
      <c r="M1480" s="3" t="str">
        <f>CONCATENATE("GCNGLN63R46H876X")</f>
        <v>GCNGLN63R46H876X</v>
      </c>
      <c r="N1480" s="3" t="s">
        <v>1531</v>
      </c>
      <c r="O1480" s="3"/>
      <c r="P1480" s="4">
        <v>42783</v>
      </c>
      <c r="Q1480" s="3" t="s">
        <v>27</v>
      </c>
      <c r="R1480" s="3" t="s">
        <v>28</v>
      </c>
      <c r="S1480" s="3" t="s">
        <v>29</v>
      </c>
      <c r="T1480" s="5">
        <v>7557.82</v>
      </c>
      <c r="U1480" s="5">
        <v>3258.93</v>
      </c>
      <c r="V1480" s="5">
        <v>3009.52</v>
      </c>
      <c r="W1480" s="5">
        <v>1289.3699999999999</v>
      </c>
    </row>
    <row r="1481" spans="1:23" ht="36.75">
      <c r="A1481" s="3" t="s">
        <v>23</v>
      </c>
      <c r="B1481" s="3" t="s">
        <v>24</v>
      </c>
      <c r="C1481" s="3" t="s">
        <v>35</v>
      </c>
      <c r="D1481" s="3" t="s">
        <v>43</v>
      </c>
      <c r="E1481" s="3" t="s">
        <v>33</v>
      </c>
      <c r="F1481" s="3" t="s">
        <v>122</v>
      </c>
      <c r="G1481" s="3">
        <v>2016</v>
      </c>
      <c r="H1481" s="3" t="str">
        <f>CONCATENATE("64240748570")</f>
        <v>64240748570</v>
      </c>
      <c r="I1481" s="3" t="s">
        <v>25</v>
      </c>
      <c r="J1481" s="3" t="s">
        <v>26</v>
      </c>
      <c r="K1481" s="3" t="str">
        <f t="shared" si="48"/>
        <v/>
      </c>
      <c r="L1481" s="3" t="str">
        <f t="shared" si="50"/>
        <v>11 11.2 4b</v>
      </c>
      <c r="M1481" s="3" t="str">
        <f>CONCATENATE("01374610416")</f>
        <v>01374610416</v>
      </c>
      <c r="N1481" s="3" t="s">
        <v>1532</v>
      </c>
      <c r="O1481" s="3"/>
      <c r="P1481" s="4">
        <v>42783</v>
      </c>
      <c r="Q1481" s="3" t="s">
        <v>27</v>
      </c>
      <c r="R1481" s="3" t="s">
        <v>28</v>
      </c>
      <c r="S1481" s="3" t="s">
        <v>29</v>
      </c>
      <c r="T1481" s="5">
        <v>34752.050000000003</v>
      </c>
      <c r="U1481" s="5">
        <v>14985.08</v>
      </c>
      <c r="V1481" s="5">
        <v>13838.27</v>
      </c>
      <c r="W1481" s="5">
        <v>5928.7</v>
      </c>
    </row>
    <row r="1482" spans="1:23" ht="72.75">
      <c r="A1482" s="3" t="s">
        <v>23</v>
      </c>
      <c r="B1482" s="3" t="s">
        <v>24</v>
      </c>
      <c r="C1482" s="3" t="s">
        <v>35</v>
      </c>
      <c r="D1482" s="3" t="s">
        <v>48</v>
      </c>
      <c r="E1482" s="3" t="s">
        <v>34</v>
      </c>
      <c r="F1482" s="3" t="s">
        <v>141</v>
      </c>
      <c r="G1482" s="3">
        <v>2016</v>
      </c>
      <c r="H1482" s="3" t="str">
        <f>CONCATENATE("64240740049")</f>
        <v>64240740049</v>
      </c>
      <c r="I1482" s="3" t="s">
        <v>25</v>
      </c>
      <c r="J1482" s="3" t="s">
        <v>26</v>
      </c>
      <c r="K1482" s="3" t="str">
        <f t="shared" si="48"/>
        <v/>
      </c>
      <c r="L1482" s="3" t="str">
        <f t="shared" si="50"/>
        <v>11 11.2 4b</v>
      </c>
      <c r="M1482" s="3" t="str">
        <f>CONCATENATE("NDRMSM73E09H501H")</f>
        <v>NDRMSM73E09H501H</v>
      </c>
      <c r="N1482" s="3" t="s">
        <v>1533</v>
      </c>
      <c r="O1482" s="3"/>
      <c r="P1482" s="4">
        <v>42783</v>
      </c>
      <c r="Q1482" s="3" t="s">
        <v>27</v>
      </c>
      <c r="R1482" s="3" t="s">
        <v>28</v>
      </c>
      <c r="S1482" s="3" t="s">
        <v>29</v>
      </c>
      <c r="T1482" s="5">
        <v>1455.28</v>
      </c>
      <c r="U1482" s="3">
        <v>627.52</v>
      </c>
      <c r="V1482" s="3">
        <v>579.49</v>
      </c>
      <c r="W1482" s="3">
        <v>248.27</v>
      </c>
    </row>
    <row r="1483" spans="1:23" ht="60.75">
      <c r="A1483" s="3" t="s">
        <v>23</v>
      </c>
      <c r="B1483" s="3" t="s">
        <v>24</v>
      </c>
      <c r="C1483" s="3" t="s">
        <v>35</v>
      </c>
      <c r="D1483" s="3" t="s">
        <v>39</v>
      </c>
      <c r="E1483" s="3" t="s">
        <v>32</v>
      </c>
      <c r="F1483" s="3" t="s">
        <v>69</v>
      </c>
      <c r="G1483" s="3">
        <v>2016</v>
      </c>
      <c r="H1483" s="3" t="str">
        <f>CONCATENATE("64240604112")</f>
        <v>64240604112</v>
      </c>
      <c r="I1483" s="3" t="s">
        <v>25</v>
      </c>
      <c r="J1483" s="3" t="s">
        <v>26</v>
      </c>
      <c r="K1483" s="3" t="str">
        <f t="shared" si="48"/>
        <v/>
      </c>
      <c r="L1483" s="3" t="str">
        <f t="shared" si="50"/>
        <v>11 11.2 4b</v>
      </c>
      <c r="M1483" s="3" t="str">
        <f>CONCATENATE("SCHHBR55C27Z112Y")</f>
        <v>SCHHBR55C27Z112Y</v>
      </c>
      <c r="N1483" s="3" t="s">
        <v>1534</v>
      </c>
      <c r="O1483" s="3"/>
      <c r="P1483" s="4">
        <v>42783</v>
      </c>
      <c r="Q1483" s="3" t="s">
        <v>27</v>
      </c>
      <c r="R1483" s="3" t="s">
        <v>28</v>
      </c>
      <c r="S1483" s="3" t="s">
        <v>29</v>
      </c>
      <c r="T1483" s="5">
        <v>1670.46</v>
      </c>
      <c r="U1483" s="3">
        <v>720.3</v>
      </c>
      <c r="V1483" s="3">
        <v>665.18</v>
      </c>
      <c r="W1483" s="3">
        <v>284.98</v>
      </c>
    </row>
    <row r="1484" spans="1:23" ht="60.75">
      <c r="A1484" s="3" t="s">
        <v>23</v>
      </c>
      <c r="B1484" s="3" t="s">
        <v>24</v>
      </c>
      <c r="C1484" s="3" t="s">
        <v>35</v>
      </c>
      <c r="D1484" s="3" t="s">
        <v>39</v>
      </c>
      <c r="E1484" s="3" t="s">
        <v>30</v>
      </c>
      <c r="F1484" s="3" t="s">
        <v>196</v>
      </c>
      <c r="G1484" s="3">
        <v>2016</v>
      </c>
      <c r="H1484" s="3" t="str">
        <f>CONCATENATE("64240686796")</f>
        <v>64240686796</v>
      </c>
      <c r="I1484" s="3" t="s">
        <v>25</v>
      </c>
      <c r="J1484" s="3" t="s">
        <v>26</v>
      </c>
      <c r="K1484" s="3" t="str">
        <f t="shared" si="48"/>
        <v/>
      </c>
      <c r="L1484" s="3" t="str">
        <f t="shared" si="50"/>
        <v>11 11.2 4b</v>
      </c>
      <c r="M1484" s="3" t="str">
        <f>CONCATENATE("BNCSNL52S69I653A")</f>
        <v>BNCSNL52S69I653A</v>
      </c>
      <c r="N1484" s="3" t="s">
        <v>1535</v>
      </c>
      <c r="O1484" s="3"/>
      <c r="P1484" s="4">
        <v>42783</v>
      </c>
      <c r="Q1484" s="3" t="s">
        <v>27</v>
      </c>
      <c r="R1484" s="3" t="s">
        <v>28</v>
      </c>
      <c r="S1484" s="3" t="s">
        <v>29</v>
      </c>
      <c r="T1484" s="5">
        <v>4777.5600000000004</v>
      </c>
      <c r="U1484" s="5">
        <v>2060.08</v>
      </c>
      <c r="V1484" s="5">
        <v>1902.42</v>
      </c>
      <c r="W1484" s="3">
        <v>815.06</v>
      </c>
    </row>
    <row r="1485" spans="1:23" ht="60.75">
      <c r="A1485" s="3" t="s">
        <v>23</v>
      </c>
      <c r="B1485" s="3" t="s">
        <v>24</v>
      </c>
      <c r="C1485" s="3" t="s">
        <v>35</v>
      </c>
      <c r="D1485" s="3" t="s">
        <v>39</v>
      </c>
      <c r="E1485" s="3" t="s">
        <v>30</v>
      </c>
      <c r="F1485" s="3" t="s">
        <v>533</v>
      </c>
      <c r="G1485" s="3">
        <v>2016</v>
      </c>
      <c r="H1485" s="3" t="str">
        <f>CONCATENATE("64240414355")</f>
        <v>64240414355</v>
      </c>
      <c r="I1485" s="3" t="s">
        <v>25</v>
      </c>
      <c r="J1485" s="3" t="s">
        <v>26</v>
      </c>
      <c r="K1485" s="3" t="str">
        <f t="shared" si="48"/>
        <v/>
      </c>
      <c r="L1485" s="3" t="str">
        <f t="shared" si="50"/>
        <v>11 11.2 4b</v>
      </c>
      <c r="M1485" s="3" t="str">
        <f>CONCATENATE("SMRSRG65T20I461U")</f>
        <v>SMRSRG65T20I461U</v>
      </c>
      <c r="N1485" s="3" t="s">
        <v>1536</v>
      </c>
      <c r="O1485" s="3"/>
      <c r="P1485" s="4">
        <v>42783</v>
      </c>
      <c r="Q1485" s="3" t="s">
        <v>27</v>
      </c>
      <c r="R1485" s="3" t="s">
        <v>28</v>
      </c>
      <c r="S1485" s="3" t="s">
        <v>29</v>
      </c>
      <c r="T1485" s="5">
        <v>6421.49</v>
      </c>
      <c r="U1485" s="5">
        <v>2768.95</v>
      </c>
      <c r="V1485" s="5">
        <v>2557.04</v>
      </c>
      <c r="W1485" s="5">
        <v>1095.5</v>
      </c>
    </row>
    <row r="1486" spans="1:23" ht="60.75">
      <c r="A1486" s="3" t="s">
        <v>23</v>
      </c>
      <c r="B1486" s="3" t="s">
        <v>24</v>
      </c>
      <c r="C1486" s="3" t="s">
        <v>35</v>
      </c>
      <c r="D1486" s="3" t="s">
        <v>36</v>
      </c>
      <c r="E1486" s="3" t="s">
        <v>42</v>
      </c>
      <c r="F1486" s="3" t="s">
        <v>42</v>
      </c>
      <c r="G1486" s="3">
        <v>2016</v>
      </c>
      <c r="H1486" s="3" t="str">
        <f>CONCATENATE("64240302741")</f>
        <v>64240302741</v>
      </c>
      <c r="I1486" s="3" t="s">
        <v>25</v>
      </c>
      <c r="J1486" s="3" t="s">
        <v>26</v>
      </c>
      <c r="K1486" s="3" t="str">
        <f t="shared" si="48"/>
        <v/>
      </c>
      <c r="L1486" s="3" t="str">
        <f t="shared" si="50"/>
        <v>11 11.2 4b</v>
      </c>
      <c r="M1486" s="3" t="str">
        <f>CONCATENATE("VLLRCC82R31H769C")</f>
        <v>VLLRCC82R31H769C</v>
      </c>
      <c r="N1486" s="3" t="s">
        <v>1537</v>
      </c>
      <c r="O1486" s="3"/>
      <c r="P1486" s="4">
        <v>42783</v>
      </c>
      <c r="Q1486" s="3" t="s">
        <v>27</v>
      </c>
      <c r="R1486" s="3" t="s">
        <v>28</v>
      </c>
      <c r="S1486" s="3" t="s">
        <v>29</v>
      </c>
      <c r="T1486" s="5">
        <v>3691.48</v>
      </c>
      <c r="U1486" s="5">
        <v>1591.77</v>
      </c>
      <c r="V1486" s="5">
        <v>1469.95</v>
      </c>
      <c r="W1486" s="3">
        <v>629.76</v>
      </c>
    </row>
    <row r="1487" spans="1:23" ht="60.75">
      <c r="A1487" s="3" t="s">
        <v>23</v>
      </c>
      <c r="B1487" s="3" t="s">
        <v>24</v>
      </c>
      <c r="C1487" s="3" t="s">
        <v>35</v>
      </c>
      <c r="D1487" s="3" t="s">
        <v>43</v>
      </c>
      <c r="E1487" s="3" t="s">
        <v>34</v>
      </c>
      <c r="F1487" s="3" t="s">
        <v>146</v>
      </c>
      <c r="G1487" s="3">
        <v>2016</v>
      </c>
      <c r="H1487" s="3" t="str">
        <f>CONCATENATE("64240094546")</f>
        <v>64240094546</v>
      </c>
      <c r="I1487" s="3" t="s">
        <v>25</v>
      </c>
      <c r="J1487" s="3" t="s">
        <v>26</v>
      </c>
      <c r="K1487" s="3" t="str">
        <f t="shared" si="48"/>
        <v/>
      </c>
      <c r="L1487" s="3" t="str">
        <f t="shared" si="50"/>
        <v>11 11.2 4b</v>
      </c>
      <c r="M1487" s="3" t="str">
        <f>CONCATENATE("GRLLSS76M49D488A")</f>
        <v>GRLLSS76M49D488A</v>
      </c>
      <c r="N1487" s="3" t="s">
        <v>1538</v>
      </c>
      <c r="O1487" s="3"/>
      <c r="P1487" s="4">
        <v>42783</v>
      </c>
      <c r="Q1487" s="3" t="s">
        <v>27</v>
      </c>
      <c r="R1487" s="3" t="s">
        <v>28</v>
      </c>
      <c r="S1487" s="3" t="s">
        <v>29</v>
      </c>
      <c r="T1487" s="5">
        <v>2735.76</v>
      </c>
      <c r="U1487" s="5">
        <v>1179.6600000000001</v>
      </c>
      <c r="V1487" s="5">
        <v>1089.3800000000001</v>
      </c>
      <c r="W1487" s="3">
        <v>466.72</v>
      </c>
    </row>
    <row r="1488" spans="1:23" ht="36.75">
      <c r="A1488" s="3" t="s">
        <v>23</v>
      </c>
      <c r="B1488" s="3" t="s">
        <v>24</v>
      </c>
      <c r="C1488" s="3" t="s">
        <v>35</v>
      </c>
      <c r="D1488" s="3" t="s">
        <v>48</v>
      </c>
      <c r="E1488" s="3" t="s">
        <v>49</v>
      </c>
      <c r="F1488" s="3" t="s">
        <v>50</v>
      </c>
      <c r="G1488" s="3">
        <v>2016</v>
      </c>
      <c r="H1488" s="3" t="str">
        <f>CONCATENATE("64240235990")</f>
        <v>64240235990</v>
      </c>
      <c r="I1488" s="3" t="s">
        <v>31</v>
      </c>
      <c r="J1488" s="3" t="s">
        <v>26</v>
      </c>
      <c r="K1488" s="3" t="str">
        <f t="shared" si="48"/>
        <v/>
      </c>
      <c r="L1488" s="3" t="str">
        <f t="shared" si="50"/>
        <v>11 11.2 4b</v>
      </c>
      <c r="M1488" s="3" t="str">
        <f>CONCATENATE("01668880436")</f>
        <v>01668880436</v>
      </c>
      <c r="N1488" s="3" t="s">
        <v>1539</v>
      </c>
      <c r="O1488" s="3"/>
      <c r="P1488" s="4">
        <v>42783</v>
      </c>
      <c r="Q1488" s="3" t="s">
        <v>27</v>
      </c>
      <c r="R1488" s="3" t="s">
        <v>28</v>
      </c>
      <c r="S1488" s="3" t="s">
        <v>29</v>
      </c>
      <c r="T1488" s="5">
        <v>1260.9000000000001</v>
      </c>
      <c r="U1488" s="3">
        <v>543.70000000000005</v>
      </c>
      <c r="V1488" s="3">
        <v>502.09</v>
      </c>
      <c r="W1488" s="3">
        <v>215.11</v>
      </c>
    </row>
    <row r="1489" spans="1:23" ht="60.75">
      <c r="A1489" s="3" t="s">
        <v>23</v>
      </c>
      <c r="B1489" s="3" t="s">
        <v>24</v>
      </c>
      <c r="C1489" s="3" t="s">
        <v>35</v>
      </c>
      <c r="D1489" s="3" t="s">
        <v>36</v>
      </c>
      <c r="E1489" s="3" t="s">
        <v>42</v>
      </c>
      <c r="F1489" s="3" t="s">
        <v>42</v>
      </c>
      <c r="G1489" s="3">
        <v>2016</v>
      </c>
      <c r="H1489" s="3" t="str">
        <f>CONCATENATE("64240150686")</f>
        <v>64240150686</v>
      </c>
      <c r="I1489" s="3" t="s">
        <v>25</v>
      </c>
      <c r="J1489" s="3" t="s">
        <v>26</v>
      </c>
      <c r="K1489" s="3" t="str">
        <f t="shared" si="48"/>
        <v/>
      </c>
      <c r="L1489" s="3" t="str">
        <f t="shared" si="50"/>
        <v>11 11.2 4b</v>
      </c>
      <c r="M1489" s="3" t="str">
        <f>CONCATENATE("MNNGPP57S20D096I")</f>
        <v>MNNGPP57S20D096I</v>
      </c>
      <c r="N1489" s="3" t="s">
        <v>255</v>
      </c>
      <c r="O1489" s="3"/>
      <c r="P1489" s="4">
        <v>42783</v>
      </c>
      <c r="Q1489" s="3" t="s">
        <v>27</v>
      </c>
      <c r="R1489" s="3" t="s">
        <v>28</v>
      </c>
      <c r="S1489" s="3" t="s">
        <v>29</v>
      </c>
      <c r="T1489" s="5">
        <v>5328.05</v>
      </c>
      <c r="U1489" s="5">
        <v>2297.46</v>
      </c>
      <c r="V1489" s="5">
        <v>2121.63</v>
      </c>
      <c r="W1489" s="3">
        <v>908.96</v>
      </c>
    </row>
    <row r="1490" spans="1:23" ht="60.75">
      <c r="A1490" s="3" t="s">
        <v>23</v>
      </c>
      <c r="B1490" s="3" t="s">
        <v>24</v>
      </c>
      <c r="C1490" s="3" t="s">
        <v>35</v>
      </c>
      <c r="D1490" s="3" t="s">
        <v>48</v>
      </c>
      <c r="E1490" s="3" t="s">
        <v>49</v>
      </c>
      <c r="F1490" s="3" t="s">
        <v>50</v>
      </c>
      <c r="G1490" s="3">
        <v>2016</v>
      </c>
      <c r="H1490" s="3" t="str">
        <f>CONCATENATE("64240281168")</f>
        <v>64240281168</v>
      </c>
      <c r="I1490" s="3" t="s">
        <v>25</v>
      </c>
      <c r="J1490" s="3" t="s">
        <v>26</v>
      </c>
      <c r="K1490" s="3" t="str">
        <f t="shared" si="48"/>
        <v/>
      </c>
      <c r="L1490" s="3" t="str">
        <f t="shared" si="50"/>
        <v>11 11.2 4b</v>
      </c>
      <c r="M1490" s="3" t="str">
        <f>CONCATENATE("CRVDNS59R30F567S")</f>
        <v>CRVDNS59R30F567S</v>
      </c>
      <c r="N1490" s="3" t="s">
        <v>1540</v>
      </c>
      <c r="O1490" s="3"/>
      <c r="P1490" s="4">
        <v>42783</v>
      </c>
      <c r="Q1490" s="3" t="s">
        <v>27</v>
      </c>
      <c r="R1490" s="3" t="s">
        <v>28</v>
      </c>
      <c r="S1490" s="3" t="s">
        <v>29</v>
      </c>
      <c r="T1490" s="5">
        <v>5020.49</v>
      </c>
      <c r="U1490" s="5">
        <v>2164.84</v>
      </c>
      <c r="V1490" s="5">
        <v>1999.16</v>
      </c>
      <c r="W1490" s="3">
        <v>856.49</v>
      </c>
    </row>
    <row r="1491" spans="1:23" ht="36.75">
      <c r="A1491" s="3" t="s">
        <v>23</v>
      </c>
      <c r="B1491" s="3" t="s">
        <v>24</v>
      </c>
      <c r="C1491" s="3" t="s">
        <v>35</v>
      </c>
      <c r="D1491" s="3" t="s">
        <v>43</v>
      </c>
      <c r="E1491" s="3" t="s">
        <v>30</v>
      </c>
      <c r="F1491" s="3" t="s">
        <v>104</v>
      </c>
      <c r="G1491" s="3">
        <v>2016</v>
      </c>
      <c r="H1491" s="3" t="str">
        <f>CONCATENATE("64240461794")</f>
        <v>64240461794</v>
      </c>
      <c r="I1491" s="3" t="s">
        <v>25</v>
      </c>
      <c r="J1491" s="3" t="s">
        <v>26</v>
      </c>
      <c r="K1491" s="3" t="str">
        <f t="shared" si="48"/>
        <v/>
      </c>
      <c r="L1491" s="3" t="str">
        <f t="shared" si="50"/>
        <v>11 11.2 4b</v>
      </c>
      <c r="M1491" s="3" t="str">
        <f>CONCATENATE("82002850418")</f>
        <v>82002850418</v>
      </c>
      <c r="N1491" s="3" t="s">
        <v>1541</v>
      </c>
      <c r="O1491" s="3"/>
      <c r="P1491" s="4">
        <v>42783</v>
      </c>
      <c r="Q1491" s="3" t="s">
        <v>27</v>
      </c>
      <c r="R1491" s="3" t="s">
        <v>28</v>
      </c>
      <c r="S1491" s="3" t="s">
        <v>29</v>
      </c>
      <c r="T1491" s="5">
        <v>35692.120000000003</v>
      </c>
      <c r="U1491" s="5">
        <v>15390.44</v>
      </c>
      <c r="V1491" s="5">
        <v>14212.6</v>
      </c>
      <c r="W1491" s="5">
        <v>6089.08</v>
      </c>
    </row>
    <row r="1492" spans="1:23" ht="60.75">
      <c r="A1492" s="3" t="s">
        <v>23</v>
      </c>
      <c r="B1492" s="3" t="s">
        <v>24</v>
      </c>
      <c r="C1492" s="3" t="s">
        <v>35</v>
      </c>
      <c r="D1492" s="3" t="s">
        <v>48</v>
      </c>
      <c r="E1492" s="3" t="s">
        <v>30</v>
      </c>
      <c r="F1492" s="3" t="s">
        <v>157</v>
      </c>
      <c r="G1492" s="3">
        <v>2016</v>
      </c>
      <c r="H1492" s="3" t="str">
        <f>CONCATENATE("64240332524")</f>
        <v>64240332524</v>
      </c>
      <c r="I1492" s="3" t="s">
        <v>25</v>
      </c>
      <c r="J1492" s="3" t="s">
        <v>26</v>
      </c>
      <c r="K1492" s="3" t="str">
        <f t="shared" si="48"/>
        <v/>
      </c>
      <c r="L1492" s="3" t="str">
        <f t="shared" si="50"/>
        <v>11 11.2 4b</v>
      </c>
      <c r="M1492" s="3" t="str">
        <f>CONCATENATE("MRTSFN69L58D542O")</f>
        <v>MRTSFN69L58D542O</v>
      </c>
      <c r="N1492" s="3" t="s">
        <v>1542</v>
      </c>
      <c r="O1492" s="3"/>
      <c r="P1492" s="4">
        <v>42783</v>
      </c>
      <c r="Q1492" s="3" t="s">
        <v>27</v>
      </c>
      <c r="R1492" s="3" t="s">
        <v>28</v>
      </c>
      <c r="S1492" s="3" t="s">
        <v>29</v>
      </c>
      <c r="T1492" s="5">
        <v>3578</v>
      </c>
      <c r="U1492" s="5">
        <v>1542.83</v>
      </c>
      <c r="V1492" s="5">
        <v>1424.76</v>
      </c>
      <c r="W1492" s="3">
        <v>610.41</v>
      </c>
    </row>
    <row r="1493" spans="1:23" ht="60.75">
      <c r="A1493" s="3" t="s">
        <v>23</v>
      </c>
      <c r="B1493" s="3" t="s">
        <v>24</v>
      </c>
      <c r="C1493" s="3" t="s">
        <v>35</v>
      </c>
      <c r="D1493" s="3" t="s">
        <v>43</v>
      </c>
      <c r="E1493" s="3" t="s">
        <v>49</v>
      </c>
      <c r="F1493" s="3" t="s">
        <v>276</v>
      </c>
      <c r="G1493" s="3">
        <v>2016</v>
      </c>
      <c r="H1493" s="3" t="str">
        <f>CONCATENATE("64240688362")</f>
        <v>64240688362</v>
      </c>
      <c r="I1493" s="3" t="s">
        <v>25</v>
      </c>
      <c r="J1493" s="3" t="s">
        <v>26</v>
      </c>
      <c r="K1493" s="3" t="str">
        <f t="shared" si="48"/>
        <v/>
      </c>
      <c r="L1493" s="3" t="str">
        <f t="shared" si="50"/>
        <v>11 11.2 4b</v>
      </c>
      <c r="M1493" s="3" t="str">
        <f>CONCATENATE("MRLLSS67E47G453D")</f>
        <v>MRLLSS67E47G453D</v>
      </c>
      <c r="N1493" s="3" t="s">
        <v>1543</v>
      </c>
      <c r="O1493" s="3"/>
      <c r="P1493" s="4">
        <v>42783</v>
      </c>
      <c r="Q1493" s="3" t="s">
        <v>27</v>
      </c>
      <c r="R1493" s="3" t="s">
        <v>28</v>
      </c>
      <c r="S1493" s="3" t="s">
        <v>29</v>
      </c>
      <c r="T1493" s="5">
        <v>1465.78</v>
      </c>
      <c r="U1493" s="3">
        <v>632.04</v>
      </c>
      <c r="V1493" s="3">
        <v>583.66999999999996</v>
      </c>
      <c r="W1493" s="3">
        <v>250.07</v>
      </c>
    </row>
    <row r="1494" spans="1:23" ht="60.75">
      <c r="A1494" s="3" t="s">
        <v>23</v>
      </c>
      <c r="B1494" s="3" t="s">
        <v>24</v>
      </c>
      <c r="C1494" s="3" t="s">
        <v>35</v>
      </c>
      <c r="D1494" s="3" t="s">
        <v>39</v>
      </c>
      <c r="E1494" s="3" t="s">
        <v>32</v>
      </c>
      <c r="F1494" s="3" t="s">
        <v>69</v>
      </c>
      <c r="G1494" s="3">
        <v>2016</v>
      </c>
      <c r="H1494" s="3" t="str">
        <f>CONCATENATE("64240905246")</f>
        <v>64240905246</v>
      </c>
      <c r="I1494" s="3" t="s">
        <v>25</v>
      </c>
      <c r="J1494" s="3" t="s">
        <v>26</v>
      </c>
      <c r="K1494" s="3" t="str">
        <f t="shared" si="48"/>
        <v/>
      </c>
      <c r="L1494" s="3" t="str">
        <f>CONCATENATE("11 11.1 4b")</f>
        <v>11 11.1 4b</v>
      </c>
      <c r="M1494" s="3" t="str">
        <f>CONCATENATE("CSGSNO96T49D451R")</f>
        <v>CSGSNO96T49D451R</v>
      </c>
      <c r="N1494" s="3" t="s">
        <v>1544</v>
      </c>
      <c r="O1494" s="3"/>
      <c r="P1494" s="4">
        <v>42783</v>
      </c>
      <c r="Q1494" s="3" t="s">
        <v>27</v>
      </c>
      <c r="R1494" s="3" t="s">
        <v>28</v>
      </c>
      <c r="S1494" s="3" t="s">
        <v>29</v>
      </c>
      <c r="T1494" s="5">
        <v>4452.74</v>
      </c>
      <c r="U1494" s="5">
        <v>1920.02</v>
      </c>
      <c r="V1494" s="5">
        <v>1773.08</v>
      </c>
      <c r="W1494" s="3">
        <v>759.64</v>
      </c>
    </row>
    <row r="1495" spans="1:23" ht="60.75">
      <c r="A1495" s="3" t="s">
        <v>23</v>
      </c>
      <c r="B1495" s="3" t="s">
        <v>24</v>
      </c>
      <c r="C1495" s="3" t="s">
        <v>35</v>
      </c>
      <c r="D1495" s="3" t="s">
        <v>36</v>
      </c>
      <c r="E1495" s="3" t="s">
        <v>30</v>
      </c>
      <c r="F1495" s="3" t="s">
        <v>67</v>
      </c>
      <c r="G1495" s="3">
        <v>2016</v>
      </c>
      <c r="H1495" s="3" t="str">
        <f>CONCATENATE("64240397691")</f>
        <v>64240397691</v>
      </c>
      <c r="I1495" s="3" t="s">
        <v>25</v>
      </c>
      <c r="J1495" s="3" t="s">
        <v>26</v>
      </c>
      <c r="K1495" s="3" t="str">
        <f t="shared" si="48"/>
        <v/>
      </c>
      <c r="L1495" s="3" t="str">
        <f>CONCATENATE("11 11.2 4b")</f>
        <v>11 11.2 4b</v>
      </c>
      <c r="M1495" s="3" t="str">
        <f>CONCATENATE("MNLSRA62R25G873K")</f>
        <v>MNLSRA62R25G873K</v>
      </c>
      <c r="N1495" s="3" t="s">
        <v>1545</v>
      </c>
      <c r="O1495" s="3"/>
      <c r="P1495" s="4">
        <v>42783</v>
      </c>
      <c r="Q1495" s="3" t="s">
        <v>27</v>
      </c>
      <c r="R1495" s="3" t="s">
        <v>28</v>
      </c>
      <c r="S1495" s="3" t="s">
        <v>29</v>
      </c>
      <c r="T1495" s="5">
        <v>2465.31</v>
      </c>
      <c r="U1495" s="5">
        <v>1063.04</v>
      </c>
      <c r="V1495" s="3">
        <v>981.69</v>
      </c>
      <c r="W1495" s="3">
        <v>420.58</v>
      </c>
    </row>
    <row r="1496" spans="1:23" ht="60.75">
      <c r="A1496" s="3" t="s">
        <v>23</v>
      </c>
      <c r="B1496" s="3" t="s">
        <v>24</v>
      </c>
      <c r="C1496" s="3" t="s">
        <v>35</v>
      </c>
      <c r="D1496" s="3" t="s">
        <v>43</v>
      </c>
      <c r="E1496" s="3" t="s">
        <v>42</v>
      </c>
      <c r="F1496" s="3" t="s">
        <v>42</v>
      </c>
      <c r="G1496" s="3">
        <v>2016</v>
      </c>
      <c r="H1496" s="3" t="str">
        <f>CONCATENATE("64240356481")</f>
        <v>64240356481</v>
      </c>
      <c r="I1496" s="3" t="s">
        <v>25</v>
      </c>
      <c r="J1496" s="3" t="s">
        <v>26</v>
      </c>
      <c r="K1496" s="3" t="str">
        <f t="shared" si="48"/>
        <v/>
      </c>
      <c r="L1496" s="3" t="str">
        <f>CONCATENATE("11 11.2 4b")</f>
        <v>11 11.2 4b</v>
      </c>
      <c r="M1496" s="3" t="str">
        <f>CONCATENATE("GRSSVN40E43Z130N")</f>
        <v>GRSSVN40E43Z130N</v>
      </c>
      <c r="N1496" s="3" t="s">
        <v>1546</v>
      </c>
      <c r="O1496" s="3"/>
      <c r="P1496" s="4">
        <v>42783</v>
      </c>
      <c r="Q1496" s="3" t="s">
        <v>27</v>
      </c>
      <c r="R1496" s="3" t="s">
        <v>28</v>
      </c>
      <c r="S1496" s="3" t="s">
        <v>29</v>
      </c>
      <c r="T1496" s="5">
        <v>2247.09</v>
      </c>
      <c r="U1496" s="3">
        <v>968.95</v>
      </c>
      <c r="V1496" s="3">
        <v>894.79</v>
      </c>
      <c r="W1496" s="3">
        <v>383.35</v>
      </c>
    </row>
    <row r="1497" spans="1:23" ht="60.75">
      <c r="A1497" s="3" t="s">
        <v>23</v>
      </c>
      <c r="B1497" s="3" t="s">
        <v>24</v>
      </c>
      <c r="C1497" s="3" t="s">
        <v>35</v>
      </c>
      <c r="D1497" s="3" t="s">
        <v>43</v>
      </c>
      <c r="E1497" s="3" t="s">
        <v>32</v>
      </c>
      <c r="F1497" s="3" t="s">
        <v>119</v>
      </c>
      <c r="G1497" s="3">
        <v>2016</v>
      </c>
      <c r="H1497" s="3" t="str">
        <f>CONCATENATE("64240259628")</f>
        <v>64240259628</v>
      </c>
      <c r="I1497" s="3" t="s">
        <v>25</v>
      </c>
      <c r="J1497" s="3" t="s">
        <v>26</v>
      </c>
      <c r="K1497" s="3" t="str">
        <f t="shared" si="48"/>
        <v/>
      </c>
      <c r="L1497" s="3" t="str">
        <f>CONCATENATE("11 11.1 4b")</f>
        <v>11 11.1 4b</v>
      </c>
      <c r="M1497" s="3" t="str">
        <f>CONCATENATE("BRLPTR67C18G453L")</f>
        <v>BRLPTR67C18G453L</v>
      </c>
      <c r="N1497" s="3" t="s">
        <v>1547</v>
      </c>
      <c r="O1497" s="3"/>
      <c r="P1497" s="4">
        <v>42783</v>
      </c>
      <c r="Q1497" s="3" t="s">
        <v>27</v>
      </c>
      <c r="R1497" s="3" t="s">
        <v>28</v>
      </c>
      <c r="S1497" s="3" t="s">
        <v>29</v>
      </c>
      <c r="T1497" s="5">
        <v>1736.52</v>
      </c>
      <c r="U1497" s="3">
        <v>748.79</v>
      </c>
      <c r="V1497" s="3">
        <v>691.48</v>
      </c>
      <c r="W1497" s="3">
        <v>296.25</v>
      </c>
    </row>
    <row r="1498" spans="1:23" ht="60.75">
      <c r="A1498" s="3" t="s">
        <v>23</v>
      </c>
      <c r="B1498" s="3" t="s">
        <v>24</v>
      </c>
      <c r="C1498" s="3" t="s">
        <v>35</v>
      </c>
      <c r="D1498" s="3" t="s">
        <v>39</v>
      </c>
      <c r="E1498" s="3" t="s">
        <v>30</v>
      </c>
      <c r="F1498" s="3" t="s">
        <v>40</v>
      </c>
      <c r="G1498" s="3">
        <v>2016</v>
      </c>
      <c r="H1498" s="3" t="str">
        <f>CONCATENATE("64240530010")</f>
        <v>64240530010</v>
      </c>
      <c r="I1498" s="3" t="s">
        <v>25</v>
      </c>
      <c r="J1498" s="3" t="s">
        <v>26</v>
      </c>
      <c r="K1498" s="3" t="str">
        <f t="shared" si="48"/>
        <v/>
      </c>
      <c r="L1498" s="3" t="str">
        <f t="shared" ref="L1498:L1503" si="51">CONCATENATE("11 11.2 4b")</f>
        <v>11 11.2 4b</v>
      </c>
      <c r="M1498" s="3" t="str">
        <f>CONCATENATE("GRRLDN60C45E388Q")</f>
        <v>GRRLDN60C45E388Q</v>
      </c>
      <c r="N1498" s="3" t="s">
        <v>1548</v>
      </c>
      <c r="O1498" s="3"/>
      <c r="P1498" s="4">
        <v>42783</v>
      </c>
      <c r="Q1498" s="3" t="s">
        <v>27</v>
      </c>
      <c r="R1498" s="3" t="s">
        <v>28</v>
      </c>
      <c r="S1498" s="3" t="s">
        <v>29</v>
      </c>
      <c r="T1498" s="3">
        <v>800.15</v>
      </c>
      <c r="U1498" s="3">
        <v>345.02</v>
      </c>
      <c r="V1498" s="3">
        <v>318.62</v>
      </c>
      <c r="W1498" s="3">
        <v>136.51</v>
      </c>
    </row>
    <row r="1499" spans="1:23" ht="60.75">
      <c r="A1499" s="3" t="s">
        <v>23</v>
      </c>
      <c r="B1499" s="3" t="s">
        <v>24</v>
      </c>
      <c r="C1499" s="3" t="s">
        <v>35</v>
      </c>
      <c r="D1499" s="3" t="s">
        <v>43</v>
      </c>
      <c r="E1499" s="3" t="s">
        <v>32</v>
      </c>
      <c r="F1499" s="3" t="s">
        <v>78</v>
      </c>
      <c r="G1499" s="3">
        <v>2016</v>
      </c>
      <c r="H1499" s="3" t="str">
        <f>CONCATENATE("64240550869")</f>
        <v>64240550869</v>
      </c>
      <c r="I1499" s="3" t="s">
        <v>25</v>
      </c>
      <c r="J1499" s="3" t="s">
        <v>26</v>
      </c>
      <c r="K1499" s="3" t="str">
        <f t="shared" si="48"/>
        <v/>
      </c>
      <c r="L1499" s="3" t="str">
        <f t="shared" si="51"/>
        <v>11 11.2 4b</v>
      </c>
      <c r="M1499" s="3" t="str">
        <f>CONCATENATE("DCSNDR75T04L500Y")</f>
        <v>DCSNDR75T04L500Y</v>
      </c>
      <c r="N1499" s="3" t="s">
        <v>1549</v>
      </c>
      <c r="O1499" s="3"/>
      <c r="P1499" s="4">
        <v>42783</v>
      </c>
      <c r="Q1499" s="3" t="s">
        <v>27</v>
      </c>
      <c r="R1499" s="3" t="s">
        <v>28</v>
      </c>
      <c r="S1499" s="3" t="s">
        <v>29</v>
      </c>
      <c r="T1499" s="5">
        <v>1821.45</v>
      </c>
      <c r="U1499" s="3">
        <v>785.41</v>
      </c>
      <c r="V1499" s="3">
        <v>725.3</v>
      </c>
      <c r="W1499" s="3">
        <v>310.74</v>
      </c>
    </row>
    <row r="1500" spans="1:23" ht="36.75">
      <c r="A1500" s="3" t="s">
        <v>23</v>
      </c>
      <c r="B1500" s="3" t="s">
        <v>24</v>
      </c>
      <c r="C1500" s="3" t="s">
        <v>35</v>
      </c>
      <c r="D1500" s="3" t="s">
        <v>39</v>
      </c>
      <c r="E1500" s="3" t="s">
        <v>32</v>
      </c>
      <c r="F1500" s="3" t="s">
        <v>69</v>
      </c>
      <c r="G1500" s="3">
        <v>2016</v>
      </c>
      <c r="H1500" s="3" t="str">
        <f>CONCATENATE("64240502944")</f>
        <v>64240502944</v>
      </c>
      <c r="I1500" s="3" t="s">
        <v>25</v>
      </c>
      <c r="J1500" s="3" t="s">
        <v>26</v>
      </c>
      <c r="K1500" s="3" t="str">
        <f t="shared" si="48"/>
        <v/>
      </c>
      <c r="L1500" s="3" t="str">
        <f t="shared" si="51"/>
        <v>11 11.2 4b</v>
      </c>
      <c r="M1500" s="3" t="str">
        <f>CONCATENATE("02028850416")</f>
        <v>02028850416</v>
      </c>
      <c r="N1500" s="3" t="s">
        <v>1550</v>
      </c>
      <c r="O1500" s="3"/>
      <c r="P1500" s="4">
        <v>42783</v>
      </c>
      <c r="Q1500" s="3" t="s">
        <v>27</v>
      </c>
      <c r="R1500" s="3" t="s">
        <v>28</v>
      </c>
      <c r="S1500" s="3" t="s">
        <v>29</v>
      </c>
      <c r="T1500" s="5">
        <v>5469.58</v>
      </c>
      <c r="U1500" s="5">
        <v>2358.48</v>
      </c>
      <c r="V1500" s="5">
        <v>2177.9899999999998</v>
      </c>
      <c r="W1500" s="3">
        <v>933.11</v>
      </c>
    </row>
    <row r="1501" spans="1:23" ht="60.75">
      <c r="A1501" s="3" t="s">
        <v>23</v>
      </c>
      <c r="B1501" s="3" t="s">
        <v>24</v>
      </c>
      <c r="C1501" s="3" t="s">
        <v>35</v>
      </c>
      <c r="D1501" s="3" t="s">
        <v>48</v>
      </c>
      <c r="E1501" s="3" t="s">
        <v>34</v>
      </c>
      <c r="F1501" s="3" t="s">
        <v>141</v>
      </c>
      <c r="G1501" s="3">
        <v>2016</v>
      </c>
      <c r="H1501" s="3" t="str">
        <f>CONCATENATE("64240351730")</f>
        <v>64240351730</v>
      </c>
      <c r="I1501" s="3" t="s">
        <v>31</v>
      </c>
      <c r="J1501" s="3" t="s">
        <v>26</v>
      </c>
      <c r="K1501" s="3" t="str">
        <f t="shared" si="48"/>
        <v/>
      </c>
      <c r="L1501" s="3" t="str">
        <f t="shared" si="51"/>
        <v>11 11.2 4b</v>
      </c>
      <c r="M1501" s="3" t="str">
        <f>CONCATENATE("WLTTJN69T45Z133I")</f>
        <v>WLTTJN69T45Z133I</v>
      </c>
      <c r="N1501" s="3" t="s">
        <v>1551</v>
      </c>
      <c r="O1501" s="3"/>
      <c r="P1501" s="4">
        <v>42783</v>
      </c>
      <c r="Q1501" s="3" t="s">
        <v>27</v>
      </c>
      <c r="R1501" s="3" t="s">
        <v>28</v>
      </c>
      <c r="S1501" s="3" t="s">
        <v>29</v>
      </c>
      <c r="T1501" s="5">
        <v>5040.74</v>
      </c>
      <c r="U1501" s="5">
        <v>2173.5700000000002</v>
      </c>
      <c r="V1501" s="5">
        <v>2007.22</v>
      </c>
      <c r="W1501" s="3">
        <v>859.95</v>
      </c>
    </row>
    <row r="1502" spans="1:23" ht="36.75">
      <c r="A1502" s="3" t="s">
        <v>23</v>
      </c>
      <c r="B1502" s="3" t="s">
        <v>24</v>
      </c>
      <c r="C1502" s="3" t="s">
        <v>35</v>
      </c>
      <c r="D1502" s="3" t="s">
        <v>48</v>
      </c>
      <c r="E1502" s="3" t="s">
        <v>30</v>
      </c>
      <c r="F1502" s="3" t="s">
        <v>91</v>
      </c>
      <c r="G1502" s="3">
        <v>2016</v>
      </c>
      <c r="H1502" s="3" t="str">
        <f>CONCATENATE("64240563573")</f>
        <v>64240563573</v>
      </c>
      <c r="I1502" s="3" t="s">
        <v>25</v>
      </c>
      <c r="J1502" s="3" t="s">
        <v>26</v>
      </c>
      <c r="K1502" s="3" t="str">
        <f t="shared" si="48"/>
        <v/>
      </c>
      <c r="L1502" s="3" t="str">
        <f t="shared" si="51"/>
        <v>11 11.2 4b</v>
      </c>
      <c r="M1502" s="3" t="str">
        <f>CONCATENATE("01761610433")</f>
        <v>01761610433</v>
      </c>
      <c r="N1502" s="3" t="s">
        <v>1552</v>
      </c>
      <c r="O1502" s="3"/>
      <c r="P1502" s="4">
        <v>42783</v>
      </c>
      <c r="Q1502" s="3" t="s">
        <v>27</v>
      </c>
      <c r="R1502" s="3" t="s">
        <v>28</v>
      </c>
      <c r="S1502" s="3" t="s">
        <v>29</v>
      </c>
      <c r="T1502" s="5">
        <v>6425.76</v>
      </c>
      <c r="U1502" s="5">
        <v>2770.79</v>
      </c>
      <c r="V1502" s="5">
        <v>2558.7399999999998</v>
      </c>
      <c r="W1502" s="5">
        <v>1096.23</v>
      </c>
    </row>
    <row r="1503" spans="1:23" ht="60.75">
      <c r="A1503" s="3" t="s">
        <v>23</v>
      </c>
      <c r="B1503" s="3" t="s">
        <v>24</v>
      </c>
      <c r="C1503" s="3" t="s">
        <v>35</v>
      </c>
      <c r="D1503" s="3" t="s">
        <v>43</v>
      </c>
      <c r="E1503" s="3" t="s">
        <v>30</v>
      </c>
      <c r="F1503" s="3" t="s">
        <v>104</v>
      </c>
      <c r="G1503" s="3">
        <v>2016</v>
      </c>
      <c r="H1503" s="3" t="str">
        <f>CONCATENATE("64240277588")</f>
        <v>64240277588</v>
      </c>
      <c r="I1503" s="3" t="s">
        <v>25</v>
      </c>
      <c r="J1503" s="3" t="s">
        <v>26</v>
      </c>
      <c r="K1503" s="3" t="str">
        <f t="shared" si="48"/>
        <v/>
      </c>
      <c r="L1503" s="3" t="str">
        <f t="shared" si="51"/>
        <v>11 11.2 4b</v>
      </c>
      <c r="M1503" s="3" t="str">
        <f>CONCATENATE("TDRDNL69C17L500B")</f>
        <v>TDRDNL69C17L500B</v>
      </c>
      <c r="N1503" s="3" t="s">
        <v>1553</v>
      </c>
      <c r="O1503" s="3"/>
      <c r="P1503" s="4">
        <v>42783</v>
      </c>
      <c r="Q1503" s="3" t="s">
        <v>27</v>
      </c>
      <c r="R1503" s="3" t="s">
        <v>28</v>
      </c>
      <c r="S1503" s="3" t="s">
        <v>29</v>
      </c>
      <c r="T1503" s="3">
        <v>997.7</v>
      </c>
      <c r="U1503" s="3">
        <v>430.21</v>
      </c>
      <c r="V1503" s="3">
        <v>397.28</v>
      </c>
      <c r="W1503" s="3">
        <v>170.21</v>
      </c>
    </row>
    <row r="1504" spans="1:23" ht="36.75">
      <c r="A1504" s="3" t="s">
        <v>23</v>
      </c>
      <c r="B1504" s="3" t="s">
        <v>24</v>
      </c>
      <c r="C1504" s="3" t="s">
        <v>35</v>
      </c>
      <c r="D1504" s="3" t="s">
        <v>36</v>
      </c>
      <c r="E1504" s="3" t="s">
        <v>34</v>
      </c>
      <c r="F1504" s="3" t="s">
        <v>273</v>
      </c>
      <c r="G1504" s="3">
        <v>2016</v>
      </c>
      <c r="H1504" s="3" t="str">
        <f>CONCATENATE("64240625687")</f>
        <v>64240625687</v>
      </c>
      <c r="I1504" s="3" t="s">
        <v>25</v>
      </c>
      <c r="J1504" s="3" t="s">
        <v>26</v>
      </c>
      <c r="K1504" s="3" t="str">
        <f t="shared" si="48"/>
        <v/>
      </c>
      <c r="L1504" s="3" t="str">
        <f>CONCATENATE("10 10.1 4b")</f>
        <v>10 10.1 4b</v>
      </c>
      <c r="M1504" s="3" t="str">
        <f>CONCATENATE("01891610444")</f>
        <v>01891610444</v>
      </c>
      <c r="N1504" s="3" t="s">
        <v>1554</v>
      </c>
      <c r="O1504" s="3"/>
      <c r="P1504" s="4">
        <v>42783</v>
      </c>
      <c r="Q1504" s="3" t="s">
        <v>27</v>
      </c>
      <c r="R1504" s="3" t="s">
        <v>28</v>
      </c>
      <c r="S1504" s="3" t="s">
        <v>29</v>
      </c>
      <c r="T1504" s="5">
        <v>29914.63</v>
      </c>
      <c r="U1504" s="5">
        <v>12899.19</v>
      </c>
      <c r="V1504" s="5">
        <v>11912.01</v>
      </c>
      <c r="W1504" s="5">
        <v>5103.43</v>
      </c>
    </row>
    <row r="1505" spans="1:23" ht="48.75">
      <c r="A1505" s="3" t="s">
        <v>23</v>
      </c>
      <c r="B1505" s="3" t="s">
        <v>24</v>
      </c>
      <c r="C1505" s="3" t="s">
        <v>35</v>
      </c>
      <c r="D1505" s="3" t="s">
        <v>36</v>
      </c>
      <c r="E1505" s="3" t="s">
        <v>30</v>
      </c>
      <c r="F1505" s="3" t="s">
        <v>37</v>
      </c>
      <c r="G1505" s="3">
        <v>2016</v>
      </c>
      <c r="H1505" s="3" t="str">
        <f>CONCATENATE("64240617296")</f>
        <v>64240617296</v>
      </c>
      <c r="I1505" s="3" t="s">
        <v>25</v>
      </c>
      <c r="J1505" s="3" t="s">
        <v>26</v>
      </c>
      <c r="K1505" s="3" t="str">
        <f t="shared" si="48"/>
        <v/>
      </c>
      <c r="L1505" s="3" t="str">
        <f t="shared" ref="L1505:L1510" si="52">CONCATENATE("11 11.2 4b")</f>
        <v>11 11.2 4b</v>
      </c>
      <c r="M1505" s="3" t="str">
        <f>CONCATENATE("CRLPIO58S27F415Y")</f>
        <v>CRLPIO58S27F415Y</v>
      </c>
      <c r="N1505" s="3" t="s">
        <v>1555</v>
      </c>
      <c r="O1505" s="3"/>
      <c r="P1505" s="4">
        <v>42783</v>
      </c>
      <c r="Q1505" s="3" t="s">
        <v>27</v>
      </c>
      <c r="R1505" s="3" t="s">
        <v>28</v>
      </c>
      <c r="S1505" s="3" t="s">
        <v>29</v>
      </c>
      <c r="T1505" s="5">
        <v>6382.27</v>
      </c>
      <c r="U1505" s="5">
        <v>2752.03</v>
      </c>
      <c r="V1505" s="5">
        <v>2541.42</v>
      </c>
      <c r="W1505" s="5">
        <v>1088.82</v>
      </c>
    </row>
    <row r="1506" spans="1:23" ht="36.75">
      <c r="A1506" s="3" t="s">
        <v>23</v>
      </c>
      <c r="B1506" s="3" t="s">
        <v>24</v>
      </c>
      <c r="C1506" s="3" t="s">
        <v>35</v>
      </c>
      <c r="D1506" s="3" t="s">
        <v>48</v>
      </c>
      <c r="E1506" s="3" t="s">
        <v>30</v>
      </c>
      <c r="F1506" s="3" t="s">
        <v>157</v>
      </c>
      <c r="G1506" s="3">
        <v>2016</v>
      </c>
      <c r="H1506" s="3" t="str">
        <f>CONCATENATE("64240391488")</f>
        <v>64240391488</v>
      </c>
      <c r="I1506" s="3" t="s">
        <v>25</v>
      </c>
      <c r="J1506" s="3" t="s">
        <v>26</v>
      </c>
      <c r="K1506" s="3" t="str">
        <f t="shared" si="48"/>
        <v/>
      </c>
      <c r="L1506" s="3" t="str">
        <f t="shared" si="52"/>
        <v>11 11.2 4b</v>
      </c>
      <c r="M1506" s="3" t="str">
        <f>CONCATENATE("00895210433")</f>
        <v>00895210433</v>
      </c>
      <c r="N1506" s="3" t="s">
        <v>1556</v>
      </c>
      <c r="O1506" s="3"/>
      <c r="P1506" s="4">
        <v>42783</v>
      </c>
      <c r="Q1506" s="3" t="s">
        <v>27</v>
      </c>
      <c r="R1506" s="3" t="s">
        <v>28</v>
      </c>
      <c r="S1506" s="3" t="s">
        <v>29</v>
      </c>
      <c r="T1506" s="5">
        <v>17230.97</v>
      </c>
      <c r="U1506" s="5">
        <v>7429.99</v>
      </c>
      <c r="V1506" s="5">
        <v>6861.37</v>
      </c>
      <c r="W1506" s="5">
        <v>2939.61</v>
      </c>
    </row>
    <row r="1507" spans="1:23" ht="72.75">
      <c r="A1507" s="3" t="s">
        <v>23</v>
      </c>
      <c r="B1507" s="3" t="s">
        <v>24</v>
      </c>
      <c r="C1507" s="3" t="s">
        <v>35</v>
      </c>
      <c r="D1507" s="3" t="s">
        <v>36</v>
      </c>
      <c r="E1507" s="3" t="s">
        <v>30</v>
      </c>
      <c r="F1507" s="3" t="s">
        <v>257</v>
      </c>
      <c r="G1507" s="3">
        <v>2016</v>
      </c>
      <c r="H1507" s="3" t="str">
        <f>CONCATENATE("64240502852")</f>
        <v>64240502852</v>
      </c>
      <c r="I1507" s="3" t="s">
        <v>25</v>
      </c>
      <c r="J1507" s="3" t="s">
        <v>26</v>
      </c>
      <c r="K1507" s="3" t="str">
        <f t="shared" si="48"/>
        <v/>
      </c>
      <c r="L1507" s="3" t="str">
        <f t="shared" si="52"/>
        <v>11 11.2 4b</v>
      </c>
      <c r="M1507" s="3" t="str">
        <f>CONCATENATE("BNFDRN59D11D760D")</f>
        <v>BNFDRN59D11D760D</v>
      </c>
      <c r="N1507" s="3" t="s">
        <v>1557</v>
      </c>
      <c r="O1507" s="3"/>
      <c r="P1507" s="4">
        <v>42783</v>
      </c>
      <c r="Q1507" s="3" t="s">
        <v>27</v>
      </c>
      <c r="R1507" s="3" t="s">
        <v>28</v>
      </c>
      <c r="S1507" s="3" t="s">
        <v>29</v>
      </c>
      <c r="T1507" s="5">
        <v>16743.900000000001</v>
      </c>
      <c r="U1507" s="5">
        <v>7219.97</v>
      </c>
      <c r="V1507" s="5">
        <v>6667.42</v>
      </c>
      <c r="W1507" s="5">
        <v>2856.51</v>
      </c>
    </row>
    <row r="1508" spans="1:23" ht="72.75">
      <c r="A1508" s="3" t="s">
        <v>23</v>
      </c>
      <c r="B1508" s="3" t="s">
        <v>24</v>
      </c>
      <c r="C1508" s="3" t="s">
        <v>35</v>
      </c>
      <c r="D1508" s="3" t="s">
        <v>48</v>
      </c>
      <c r="E1508" s="3" t="s">
        <v>49</v>
      </c>
      <c r="F1508" s="3" t="s">
        <v>50</v>
      </c>
      <c r="G1508" s="3">
        <v>2016</v>
      </c>
      <c r="H1508" s="3" t="str">
        <f>CONCATENATE("64240851903")</f>
        <v>64240851903</v>
      </c>
      <c r="I1508" s="3" t="s">
        <v>25</v>
      </c>
      <c r="J1508" s="3" t="s">
        <v>26</v>
      </c>
      <c r="K1508" s="3" t="str">
        <f t="shared" si="48"/>
        <v/>
      </c>
      <c r="L1508" s="3" t="str">
        <f t="shared" si="52"/>
        <v>11 11.2 4b</v>
      </c>
      <c r="M1508" s="3" t="str">
        <f>CONCATENATE("MRCMRN59L16A952Q")</f>
        <v>MRCMRN59L16A952Q</v>
      </c>
      <c r="N1508" s="3" t="s">
        <v>1558</v>
      </c>
      <c r="O1508" s="3"/>
      <c r="P1508" s="4">
        <v>42783</v>
      </c>
      <c r="Q1508" s="3" t="s">
        <v>27</v>
      </c>
      <c r="R1508" s="3" t="s">
        <v>28</v>
      </c>
      <c r="S1508" s="3" t="s">
        <v>29</v>
      </c>
      <c r="T1508" s="5">
        <v>8106.57</v>
      </c>
      <c r="U1508" s="5">
        <v>3495.55</v>
      </c>
      <c r="V1508" s="5">
        <v>3228.04</v>
      </c>
      <c r="W1508" s="5">
        <v>1382.98</v>
      </c>
    </row>
    <row r="1509" spans="1:23" ht="36.75">
      <c r="A1509" s="3" t="s">
        <v>23</v>
      </c>
      <c r="B1509" s="3" t="s">
        <v>24</v>
      </c>
      <c r="C1509" s="3" t="s">
        <v>35</v>
      </c>
      <c r="D1509" s="3" t="s">
        <v>48</v>
      </c>
      <c r="E1509" s="3" t="s">
        <v>30</v>
      </c>
      <c r="F1509" s="3" t="s">
        <v>111</v>
      </c>
      <c r="G1509" s="3">
        <v>2016</v>
      </c>
      <c r="H1509" s="3" t="str">
        <f>CONCATENATE("64240871364")</f>
        <v>64240871364</v>
      </c>
      <c r="I1509" s="3" t="s">
        <v>25</v>
      </c>
      <c r="J1509" s="3" t="s">
        <v>26</v>
      </c>
      <c r="K1509" s="3" t="str">
        <f t="shared" si="48"/>
        <v/>
      </c>
      <c r="L1509" s="3" t="str">
        <f t="shared" si="52"/>
        <v>11 11.2 4b</v>
      </c>
      <c r="M1509" s="3" t="str">
        <f>CONCATENATE("01364630432")</f>
        <v>01364630432</v>
      </c>
      <c r="N1509" s="3" t="s">
        <v>1559</v>
      </c>
      <c r="O1509" s="3"/>
      <c r="P1509" s="4">
        <v>42783</v>
      </c>
      <c r="Q1509" s="3" t="s">
        <v>27</v>
      </c>
      <c r="R1509" s="3" t="s">
        <v>28</v>
      </c>
      <c r="S1509" s="3" t="s">
        <v>29</v>
      </c>
      <c r="T1509" s="5">
        <v>3521.78</v>
      </c>
      <c r="U1509" s="5">
        <v>1518.59</v>
      </c>
      <c r="V1509" s="5">
        <v>1402.37</v>
      </c>
      <c r="W1509" s="3">
        <v>600.82000000000005</v>
      </c>
    </row>
    <row r="1510" spans="1:23" ht="36.75">
      <c r="A1510" s="3" t="s">
        <v>23</v>
      </c>
      <c r="B1510" s="3" t="s">
        <v>24</v>
      </c>
      <c r="C1510" s="3" t="s">
        <v>35</v>
      </c>
      <c r="D1510" s="3" t="s">
        <v>36</v>
      </c>
      <c r="E1510" s="3" t="s">
        <v>34</v>
      </c>
      <c r="F1510" s="3" t="s">
        <v>273</v>
      </c>
      <c r="G1510" s="3">
        <v>2016</v>
      </c>
      <c r="H1510" s="3" t="str">
        <f>CONCATENATE("64240376109")</f>
        <v>64240376109</v>
      </c>
      <c r="I1510" s="3" t="s">
        <v>25</v>
      </c>
      <c r="J1510" s="3" t="s">
        <v>26</v>
      </c>
      <c r="K1510" s="3" t="str">
        <f t="shared" si="48"/>
        <v/>
      </c>
      <c r="L1510" s="3" t="str">
        <f t="shared" si="52"/>
        <v>11 11.2 4b</v>
      </c>
      <c r="M1510" s="3" t="str">
        <f>CONCATENATE("02200350441")</f>
        <v>02200350441</v>
      </c>
      <c r="N1510" s="3" t="s">
        <v>1560</v>
      </c>
      <c r="O1510" s="3"/>
      <c r="P1510" s="4">
        <v>42783</v>
      </c>
      <c r="Q1510" s="3" t="s">
        <v>27</v>
      </c>
      <c r="R1510" s="3" t="s">
        <v>28</v>
      </c>
      <c r="S1510" s="3" t="s">
        <v>29</v>
      </c>
      <c r="T1510" s="5">
        <v>16779.63</v>
      </c>
      <c r="U1510" s="5">
        <v>7235.38</v>
      </c>
      <c r="V1510" s="5">
        <v>6681.65</v>
      </c>
      <c r="W1510" s="5">
        <v>2862.6</v>
      </c>
    </row>
    <row r="1511" spans="1:23" ht="60.75">
      <c r="A1511" s="3" t="s">
        <v>23</v>
      </c>
      <c r="B1511" s="3" t="s">
        <v>24</v>
      </c>
      <c r="C1511" s="3" t="s">
        <v>35</v>
      </c>
      <c r="D1511" s="3" t="s">
        <v>48</v>
      </c>
      <c r="E1511" s="3" t="s">
        <v>30</v>
      </c>
      <c r="F1511" s="3" t="s">
        <v>91</v>
      </c>
      <c r="G1511" s="3">
        <v>2016</v>
      </c>
      <c r="H1511" s="3" t="str">
        <f>CONCATENATE("64210512212")</f>
        <v>64210512212</v>
      </c>
      <c r="I1511" s="3" t="s">
        <v>25</v>
      </c>
      <c r="J1511" s="3" t="s">
        <v>26</v>
      </c>
      <c r="K1511" s="3" t="str">
        <f t="shared" si="48"/>
        <v/>
      </c>
      <c r="L1511" s="3" t="str">
        <f>CONCATENATE("13 13.1 4a")</f>
        <v>13 13.1 4a</v>
      </c>
      <c r="M1511" s="3" t="str">
        <f>CONCATENATE("TMBGNN63P13C267U")</f>
        <v>TMBGNN63P13C267U</v>
      </c>
      <c r="N1511" s="3" t="s">
        <v>1561</v>
      </c>
      <c r="O1511" s="3"/>
      <c r="P1511" s="4">
        <v>42783</v>
      </c>
      <c r="Q1511" s="3" t="s">
        <v>27</v>
      </c>
      <c r="R1511" s="3" t="s">
        <v>28</v>
      </c>
      <c r="S1511" s="3" t="s">
        <v>29</v>
      </c>
      <c r="T1511" s="5">
        <v>4590</v>
      </c>
      <c r="U1511" s="5">
        <v>1979.21</v>
      </c>
      <c r="V1511" s="5">
        <v>1827.74</v>
      </c>
      <c r="W1511" s="3">
        <v>783.05</v>
      </c>
    </row>
    <row r="1512" spans="1:23" ht="36.75">
      <c r="A1512" s="3" t="s">
        <v>23</v>
      </c>
      <c r="B1512" s="3" t="s">
        <v>24</v>
      </c>
      <c r="C1512" s="3" t="s">
        <v>35</v>
      </c>
      <c r="D1512" s="3" t="s">
        <v>43</v>
      </c>
      <c r="E1512" s="3" t="s">
        <v>30</v>
      </c>
      <c r="F1512" s="3" t="s">
        <v>109</v>
      </c>
      <c r="G1512" s="3">
        <v>2016</v>
      </c>
      <c r="H1512" s="3" t="str">
        <f>CONCATENATE("64240762951")</f>
        <v>64240762951</v>
      </c>
      <c r="I1512" s="3" t="s">
        <v>25</v>
      </c>
      <c r="J1512" s="3" t="s">
        <v>26</v>
      </c>
      <c r="K1512" s="3" t="str">
        <f t="shared" si="48"/>
        <v/>
      </c>
      <c r="L1512" s="3" t="str">
        <f>CONCATENATE("11 11.2 4b")</f>
        <v>11 11.2 4b</v>
      </c>
      <c r="M1512" s="3" t="str">
        <f>CONCATENATE("02323940417")</f>
        <v>02323940417</v>
      </c>
      <c r="N1512" s="3" t="s">
        <v>1562</v>
      </c>
      <c r="O1512" s="3"/>
      <c r="P1512" s="4">
        <v>42783</v>
      </c>
      <c r="Q1512" s="3" t="s">
        <v>27</v>
      </c>
      <c r="R1512" s="3" t="s">
        <v>28</v>
      </c>
      <c r="S1512" s="3" t="s">
        <v>29</v>
      </c>
      <c r="T1512" s="5">
        <v>2855.36</v>
      </c>
      <c r="U1512" s="5">
        <v>1231.23</v>
      </c>
      <c r="V1512" s="5">
        <v>1137</v>
      </c>
      <c r="W1512" s="3">
        <v>487.13</v>
      </c>
    </row>
    <row r="1513" spans="1:23" ht="72.75">
      <c r="A1513" s="3" t="s">
        <v>23</v>
      </c>
      <c r="B1513" s="3" t="s">
        <v>24</v>
      </c>
      <c r="C1513" s="3" t="s">
        <v>35</v>
      </c>
      <c r="D1513" s="3" t="s">
        <v>43</v>
      </c>
      <c r="E1513" s="3" t="s">
        <v>32</v>
      </c>
      <c r="F1513" s="3" t="s">
        <v>119</v>
      </c>
      <c r="G1513" s="3">
        <v>2016</v>
      </c>
      <c r="H1513" s="3" t="str">
        <f>CONCATENATE("64240652921")</f>
        <v>64240652921</v>
      </c>
      <c r="I1513" s="3" t="s">
        <v>25</v>
      </c>
      <c r="J1513" s="3" t="s">
        <v>26</v>
      </c>
      <c r="K1513" s="3" t="str">
        <f t="shared" si="48"/>
        <v/>
      </c>
      <c r="L1513" s="3" t="str">
        <f>CONCATENATE("11 11.1 4b")</f>
        <v>11 11.1 4b</v>
      </c>
      <c r="M1513" s="3" t="str">
        <f>CONCATENATE("CNCNDR77R25D488Q")</f>
        <v>CNCNDR77R25D488Q</v>
      </c>
      <c r="N1513" s="3" t="s">
        <v>1563</v>
      </c>
      <c r="O1513" s="3"/>
      <c r="P1513" s="4">
        <v>42783</v>
      </c>
      <c r="Q1513" s="3" t="s">
        <v>27</v>
      </c>
      <c r="R1513" s="3" t="s">
        <v>28</v>
      </c>
      <c r="S1513" s="3" t="s">
        <v>29</v>
      </c>
      <c r="T1513" s="5">
        <v>2582.48</v>
      </c>
      <c r="U1513" s="5">
        <v>1113.57</v>
      </c>
      <c r="V1513" s="5">
        <v>1028.3399999999999</v>
      </c>
      <c r="W1513" s="3">
        <v>440.57</v>
      </c>
    </row>
    <row r="1514" spans="1:23" ht="60.75">
      <c r="A1514" s="3" t="s">
        <v>23</v>
      </c>
      <c r="B1514" s="3" t="s">
        <v>24</v>
      </c>
      <c r="C1514" s="3" t="s">
        <v>35</v>
      </c>
      <c r="D1514" s="3" t="s">
        <v>43</v>
      </c>
      <c r="E1514" s="3" t="s">
        <v>49</v>
      </c>
      <c r="F1514" s="3" t="s">
        <v>139</v>
      </c>
      <c r="G1514" s="3">
        <v>2016</v>
      </c>
      <c r="H1514" s="3" t="str">
        <f>CONCATENATE("64240582839")</f>
        <v>64240582839</v>
      </c>
      <c r="I1514" s="3" t="s">
        <v>25</v>
      </c>
      <c r="J1514" s="3" t="s">
        <v>26</v>
      </c>
      <c r="K1514" s="3" t="str">
        <f t="shared" si="48"/>
        <v/>
      </c>
      <c r="L1514" s="3" t="str">
        <f>CONCATENATE("11 11.2 4b")</f>
        <v>11 11.2 4b</v>
      </c>
      <c r="M1514" s="3" t="str">
        <f>CONCATENATE("RGLCRL68C43C830Z")</f>
        <v>RGLCRL68C43C830Z</v>
      </c>
      <c r="N1514" s="3" t="s">
        <v>1564</v>
      </c>
      <c r="O1514" s="3"/>
      <c r="P1514" s="4">
        <v>42783</v>
      </c>
      <c r="Q1514" s="3" t="s">
        <v>27</v>
      </c>
      <c r="R1514" s="3" t="s">
        <v>28</v>
      </c>
      <c r="S1514" s="3" t="s">
        <v>29</v>
      </c>
      <c r="T1514" s="5">
        <v>11294.09</v>
      </c>
      <c r="U1514" s="5">
        <v>4870.01</v>
      </c>
      <c r="V1514" s="5">
        <v>4497.3100000000004</v>
      </c>
      <c r="W1514" s="5">
        <v>1926.77</v>
      </c>
    </row>
    <row r="1515" spans="1:23" ht="72.75">
      <c r="A1515" s="3" t="s">
        <v>23</v>
      </c>
      <c r="B1515" s="3" t="s">
        <v>24</v>
      </c>
      <c r="C1515" s="3" t="s">
        <v>35</v>
      </c>
      <c r="D1515" s="3" t="s">
        <v>39</v>
      </c>
      <c r="E1515" s="3" t="s">
        <v>33</v>
      </c>
      <c r="F1515" s="3" t="s">
        <v>848</v>
      </c>
      <c r="G1515" s="3">
        <v>2016</v>
      </c>
      <c r="H1515" s="3" t="str">
        <f>CONCATENATE("64240800892")</f>
        <v>64240800892</v>
      </c>
      <c r="I1515" s="3" t="s">
        <v>25</v>
      </c>
      <c r="J1515" s="3" t="s">
        <v>26</v>
      </c>
      <c r="K1515" s="3" t="str">
        <f t="shared" si="48"/>
        <v/>
      </c>
      <c r="L1515" s="3" t="str">
        <f>CONCATENATE("11 11.2 4b")</f>
        <v>11 11.2 4b</v>
      </c>
      <c r="M1515" s="3" t="str">
        <f>CONCATENATE("MTTDRN52R53H958G")</f>
        <v>MTTDRN52R53H958G</v>
      </c>
      <c r="N1515" s="3" t="s">
        <v>1565</v>
      </c>
      <c r="O1515" s="3"/>
      <c r="P1515" s="4">
        <v>42783</v>
      </c>
      <c r="Q1515" s="3" t="s">
        <v>27</v>
      </c>
      <c r="R1515" s="3" t="s">
        <v>28</v>
      </c>
      <c r="S1515" s="3" t="s">
        <v>29</v>
      </c>
      <c r="T1515" s="5">
        <v>3109.25</v>
      </c>
      <c r="U1515" s="5">
        <v>1340.71</v>
      </c>
      <c r="V1515" s="5">
        <v>1238.0999999999999</v>
      </c>
      <c r="W1515" s="3">
        <v>530.44000000000005</v>
      </c>
    </row>
    <row r="1516" spans="1:23" ht="60.75">
      <c r="A1516" s="3" t="s">
        <v>23</v>
      </c>
      <c r="B1516" s="3" t="s">
        <v>24</v>
      </c>
      <c r="C1516" s="3" t="s">
        <v>35</v>
      </c>
      <c r="D1516" s="3" t="s">
        <v>36</v>
      </c>
      <c r="E1516" s="3" t="s">
        <v>42</v>
      </c>
      <c r="F1516" s="3" t="s">
        <v>42</v>
      </c>
      <c r="G1516" s="3">
        <v>2016</v>
      </c>
      <c r="H1516" s="3" t="str">
        <f>CONCATENATE("64240117768")</f>
        <v>64240117768</v>
      </c>
      <c r="I1516" s="3" t="s">
        <v>25</v>
      </c>
      <c r="J1516" s="3" t="s">
        <v>26</v>
      </c>
      <c r="K1516" s="3" t="str">
        <f t="shared" si="48"/>
        <v/>
      </c>
      <c r="L1516" s="3" t="str">
        <f>CONCATENATE("11 11.2 4b")</f>
        <v>11 11.2 4b</v>
      </c>
      <c r="M1516" s="3" t="str">
        <f>CONCATENATE("LRNTMS57H05F517A")</f>
        <v>LRNTMS57H05F517A</v>
      </c>
      <c r="N1516" s="3" t="s">
        <v>1566</v>
      </c>
      <c r="O1516" s="3"/>
      <c r="P1516" s="4">
        <v>42783</v>
      </c>
      <c r="Q1516" s="3" t="s">
        <v>27</v>
      </c>
      <c r="R1516" s="3" t="s">
        <v>28</v>
      </c>
      <c r="S1516" s="3" t="s">
        <v>29</v>
      </c>
      <c r="T1516" s="3">
        <v>631.89</v>
      </c>
      <c r="U1516" s="3">
        <v>272.47000000000003</v>
      </c>
      <c r="V1516" s="3">
        <v>251.62</v>
      </c>
      <c r="W1516" s="3">
        <v>107.8</v>
      </c>
    </row>
    <row r="1517" spans="1:23" ht="72.75">
      <c r="A1517" s="3" t="s">
        <v>23</v>
      </c>
      <c r="B1517" s="3" t="s">
        <v>24</v>
      </c>
      <c r="C1517" s="3" t="s">
        <v>35</v>
      </c>
      <c r="D1517" s="3" t="s">
        <v>36</v>
      </c>
      <c r="E1517" s="3" t="s">
        <v>33</v>
      </c>
      <c r="F1517" s="3" t="s">
        <v>360</v>
      </c>
      <c r="G1517" s="3">
        <v>2016</v>
      </c>
      <c r="H1517" s="3" t="str">
        <f>CONCATENATE("64240424842")</f>
        <v>64240424842</v>
      </c>
      <c r="I1517" s="3" t="s">
        <v>25</v>
      </c>
      <c r="J1517" s="3" t="s">
        <v>26</v>
      </c>
      <c r="K1517" s="3" t="str">
        <f t="shared" si="48"/>
        <v/>
      </c>
      <c r="L1517" s="3" t="str">
        <f>CONCATENATE("10 10.1 4b")</f>
        <v>10 10.1 4b</v>
      </c>
      <c r="M1517" s="3" t="str">
        <f>CONCATENATE("GMNPIO62B27F415D")</f>
        <v>GMNPIO62B27F415D</v>
      </c>
      <c r="N1517" s="3" t="s">
        <v>1567</v>
      </c>
      <c r="O1517" s="3"/>
      <c r="P1517" s="4">
        <v>42783</v>
      </c>
      <c r="Q1517" s="3" t="s">
        <v>27</v>
      </c>
      <c r="R1517" s="3" t="s">
        <v>28</v>
      </c>
      <c r="S1517" s="3" t="s">
        <v>29</v>
      </c>
      <c r="T1517" s="5">
        <v>3885.91</v>
      </c>
      <c r="U1517" s="5">
        <v>1675.6</v>
      </c>
      <c r="V1517" s="5">
        <v>1547.37</v>
      </c>
      <c r="W1517" s="3">
        <v>662.94</v>
      </c>
    </row>
    <row r="1518" spans="1:23" ht="60.75">
      <c r="A1518" s="3" t="s">
        <v>23</v>
      </c>
      <c r="B1518" s="3" t="s">
        <v>24</v>
      </c>
      <c r="C1518" s="3" t="s">
        <v>35</v>
      </c>
      <c r="D1518" s="3" t="s">
        <v>36</v>
      </c>
      <c r="E1518" s="3" t="s">
        <v>30</v>
      </c>
      <c r="F1518" s="3" t="s">
        <v>257</v>
      </c>
      <c r="G1518" s="3">
        <v>2016</v>
      </c>
      <c r="H1518" s="3" t="str">
        <f>CONCATENATE("64240787396")</f>
        <v>64240787396</v>
      </c>
      <c r="I1518" s="3" t="s">
        <v>25</v>
      </c>
      <c r="J1518" s="3" t="s">
        <v>26</v>
      </c>
      <c r="K1518" s="3" t="str">
        <f t="shared" ref="K1518:K1581" si="53">CONCATENATE("")</f>
        <v/>
      </c>
      <c r="L1518" s="3" t="str">
        <f>CONCATENATE("11 11.2 4b")</f>
        <v>11 11.2 4b</v>
      </c>
      <c r="M1518" s="3" t="str">
        <f>CONCATENATE("PLLGPP53R02F536D")</f>
        <v>PLLGPP53R02F536D</v>
      </c>
      <c r="N1518" s="3" t="s">
        <v>1568</v>
      </c>
      <c r="O1518" s="3"/>
      <c r="P1518" s="4">
        <v>42783</v>
      </c>
      <c r="Q1518" s="3" t="s">
        <v>27</v>
      </c>
      <c r="R1518" s="3" t="s">
        <v>28</v>
      </c>
      <c r="S1518" s="3" t="s">
        <v>29</v>
      </c>
      <c r="T1518" s="5">
        <v>4749.26</v>
      </c>
      <c r="U1518" s="5">
        <v>2047.88</v>
      </c>
      <c r="V1518" s="5">
        <v>1891.16</v>
      </c>
      <c r="W1518" s="3">
        <v>810.22</v>
      </c>
    </row>
    <row r="1519" spans="1:23" ht="60.75">
      <c r="A1519" s="3" t="s">
        <v>23</v>
      </c>
      <c r="B1519" s="3" t="s">
        <v>24</v>
      </c>
      <c r="C1519" s="3" t="s">
        <v>35</v>
      </c>
      <c r="D1519" s="3" t="s">
        <v>43</v>
      </c>
      <c r="E1519" s="3" t="s">
        <v>32</v>
      </c>
      <c r="F1519" s="3" t="s">
        <v>78</v>
      </c>
      <c r="G1519" s="3">
        <v>2016</v>
      </c>
      <c r="H1519" s="3" t="str">
        <f>CONCATENATE("64240561536")</f>
        <v>64240561536</v>
      </c>
      <c r="I1519" s="3" t="s">
        <v>25</v>
      </c>
      <c r="J1519" s="3" t="s">
        <v>26</v>
      </c>
      <c r="K1519" s="3" t="str">
        <f t="shared" si="53"/>
        <v/>
      </c>
      <c r="L1519" s="3" t="str">
        <f>CONCATENATE("11 11.2 4b")</f>
        <v>11 11.2 4b</v>
      </c>
      <c r="M1519" s="3" t="str">
        <f>CONCATENATE("DCHGCR48R22L500H")</f>
        <v>DCHGCR48R22L500H</v>
      </c>
      <c r="N1519" s="3" t="s">
        <v>1569</v>
      </c>
      <c r="O1519" s="3"/>
      <c r="P1519" s="4">
        <v>42783</v>
      </c>
      <c r="Q1519" s="3" t="s">
        <v>27</v>
      </c>
      <c r="R1519" s="3" t="s">
        <v>28</v>
      </c>
      <c r="S1519" s="3" t="s">
        <v>29</v>
      </c>
      <c r="T1519" s="5">
        <v>4034.44</v>
      </c>
      <c r="U1519" s="5">
        <v>1739.65</v>
      </c>
      <c r="V1519" s="5">
        <v>1606.51</v>
      </c>
      <c r="W1519" s="3">
        <v>688.28</v>
      </c>
    </row>
    <row r="1520" spans="1:23" ht="60.75">
      <c r="A1520" s="3" t="s">
        <v>23</v>
      </c>
      <c r="B1520" s="3" t="s">
        <v>24</v>
      </c>
      <c r="C1520" s="3" t="s">
        <v>35</v>
      </c>
      <c r="D1520" s="3" t="s">
        <v>39</v>
      </c>
      <c r="E1520" s="3" t="s">
        <v>30</v>
      </c>
      <c r="F1520" s="3" t="s">
        <v>533</v>
      </c>
      <c r="G1520" s="3">
        <v>2016</v>
      </c>
      <c r="H1520" s="3" t="str">
        <f>CONCATENATE("64240306643")</f>
        <v>64240306643</v>
      </c>
      <c r="I1520" s="3" t="s">
        <v>25</v>
      </c>
      <c r="J1520" s="3" t="s">
        <v>26</v>
      </c>
      <c r="K1520" s="3" t="str">
        <f t="shared" si="53"/>
        <v/>
      </c>
      <c r="L1520" s="3" t="str">
        <f>CONCATENATE("11 11.1 4b")</f>
        <v>11 11.1 4b</v>
      </c>
      <c r="M1520" s="3" t="str">
        <f>CONCATENATE("DNNSDR66R45I461V")</f>
        <v>DNNSDR66R45I461V</v>
      </c>
      <c r="N1520" s="3" t="s">
        <v>1570</v>
      </c>
      <c r="O1520" s="3"/>
      <c r="P1520" s="4">
        <v>42783</v>
      </c>
      <c r="Q1520" s="3" t="s">
        <v>27</v>
      </c>
      <c r="R1520" s="3" t="s">
        <v>28</v>
      </c>
      <c r="S1520" s="3" t="s">
        <v>29</v>
      </c>
      <c r="T1520" s="3">
        <v>906.53</v>
      </c>
      <c r="U1520" s="3">
        <v>390.9</v>
      </c>
      <c r="V1520" s="3">
        <v>360.98</v>
      </c>
      <c r="W1520" s="3">
        <v>154.65</v>
      </c>
    </row>
    <row r="1521" spans="1:23" ht="36.75">
      <c r="A1521" s="3" t="s">
        <v>23</v>
      </c>
      <c r="B1521" s="3" t="s">
        <v>24</v>
      </c>
      <c r="C1521" s="3" t="s">
        <v>35</v>
      </c>
      <c r="D1521" s="3" t="s">
        <v>39</v>
      </c>
      <c r="E1521" s="3" t="s">
        <v>32</v>
      </c>
      <c r="F1521" s="3" t="s">
        <v>69</v>
      </c>
      <c r="G1521" s="3">
        <v>2016</v>
      </c>
      <c r="H1521" s="3" t="str">
        <f>CONCATENATE("64240625661")</f>
        <v>64240625661</v>
      </c>
      <c r="I1521" s="3" t="s">
        <v>25</v>
      </c>
      <c r="J1521" s="3" t="s">
        <v>26</v>
      </c>
      <c r="K1521" s="3" t="str">
        <f t="shared" si="53"/>
        <v/>
      </c>
      <c r="L1521" s="3" t="str">
        <f>CONCATENATE("11 11.2 4b")</f>
        <v>11 11.2 4b</v>
      </c>
      <c r="M1521" s="3" t="str">
        <f>CONCATENATE("01081420422")</f>
        <v>01081420422</v>
      </c>
      <c r="N1521" s="3" t="s">
        <v>1571</v>
      </c>
      <c r="O1521" s="3"/>
      <c r="P1521" s="4">
        <v>42783</v>
      </c>
      <c r="Q1521" s="3" t="s">
        <v>27</v>
      </c>
      <c r="R1521" s="3" t="s">
        <v>28</v>
      </c>
      <c r="S1521" s="3" t="s">
        <v>29</v>
      </c>
      <c r="T1521" s="5">
        <v>3659.85</v>
      </c>
      <c r="U1521" s="5">
        <v>1578.13</v>
      </c>
      <c r="V1521" s="5">
        <v>1457.35</v>
      </c>
      <c r="W1521" s="3">
        <v>624.37</v>
      </c>
    </row>
    <row r="1522" spans="1:23" ht="36.75">
      <c r="A1522" s="3" t="s">
        <v>23</v>
      </c>
      <c r="B1522" s="3" t="s">
        <v>24</v>
      </c>
      <c r="C1522" s="3" t="s">
        <v>35</v>
      </c>
      <c r="D1522" s="3" t="s">
        <v>39</v>
      </c>
      <c r="E1522" s="3" t="s">
        <v>32</v>
      </c>
      <c r="F1522" s="3" t="s">
        <v>69</v>
      </c>
      <c r="G1522" s="3">
        <v>2016</v>
      </c>
      <c r="H1522" s="3" t="str">
        <f>CONCATENATE("64210814840")</f>
        <v>64210814840</v>
      </c>
      <c r="I1522" s="3" t="s">
        <v>25</v>
      </c>
      <c r="J1522" s="3" t="s">
        <v>26</v>
      </c>
      <c r="K1522" s="3" t="str">
        <f t="shared" si="53"/>
        <v/>
      </c>
      <c r="L1522" s="3" t="str">
        <f>CONCATENATE("13 13.1 4a")</f>
        <v>13 13.1 4a</v>
      </c>
      <c r="M1522" s="3" t="str">
        <f>CONCATENATE("01081420422")</f>
        <v>01081420422</v>
      </c>
      <c r="N1522" s="3" t="s">
        <v>1571</v>
      </c>
      <c r="O1522" s="3"/>
      <c r="P1522" s="4">
        <v>42783</v>
      </c>
      <c r="Q1522" s="3" t="s">
        <v>27</v>
      </c>
      <c r="R1522" s="3" t="s">
        <v>28</v>
      </c>
      <c r="S1522" s="3" t="s">
        <v>29</v>
      </c>
      <c r="T1522" s="5">
        <v>4590</v>
      </c>
      <c r="U1522" s="5">
        <v>1979.21</v>
      </c>
      <c r="V1522" s="5">
        <v>1827.74</v>
      </c>
      <c r="W1522" s="3">
        <v>783.05</v>
      </c>
    </row>
    <row r="1523" spans="1:23" ht="60.75">
      <c r="A1523" s="3" t="s">
        <v>23</v>
      </c>
      <c r="B1523" s="3" t="s">
        <v>24</v>
      </c>
      <c r="C1523" s="3" t="s">
        <v>35</v>
      </c>
      <c r="D1523" s="3" t="s">
        <v>43</v>
      </c>
      <c r="E1523" s="3" t="s">
        <v>32</v>
      </c>
      <c r="F1523" s="3" t="s">
        <v>78</v>
      </c>
      <c r="G1523" s="3">
        <v>2016</v>
      </c>
      <c r="H1523" s="3" t="str">
        <f>CONCATENATE("64240317491")</f>
        <v>64240317491</v>
      </c>
      <c r="I1523" s="3" t="s">
        <v>25</v>
      </c>
      <c r="J1523" s="3" t="s">
        <v>26</v>
      </c>
      <c r="K1523" s="3" t="str">
        <f t="shared" si="53"/>
        <v/>
      </c>
      <c r="L1523" s="3" t="str">
        <f>CONCATENATE("11 11.2 4b")</f>
        <v>11 11.2 4b</v>
      </c>
      <c r="M1523" s="3" t="str">
        <f>CONCATENATE("PRGGDE30C12L500R")</f>
        <v>PRGGDE30C12L500R</v>
      </c>
      <c r="N1523" s="3" t="s">
        <v>1572</v>
      </c>
      <c r="O1523" s="3"/>
      <c r="P1523" s="4">
        <v>42783</v>
      </c>
      <c r="Q1523" s="3" t="s">
        <v>27</v>
      </c>
      <c r="R1523" s="3" t="s">
        <v>28</v>
      </c>
      <c r="S1523" s="3" t="s">
        <v>29</v>
      </c>
      <c r="T1523" s="5">
        <v>1451.38</v>
      </c>
      <c r="U1523" s="3">
        <v>625.84</v>
      </c>
      <c r="V1523" s="3">
        <v>577.94000000000005</v>
      </c>
      <c r="W1523" s="3">
        <v>247.6</v>
      </c>
    </row>
    <row r="1524" spans="1:23" ht="60.75">
      <c r="A1524" s="3" t="s">
        <v>23</v>
      </c>
      <c r="B1524" s="3" t="s">
        <v>24</v>
      </c>
      <c r="C1524" s="3" t="s">
        <v>35</v>
      </c>
      <c r="D1524" s="3" t="s">
        <v>48</v>
      </c>
      <c r="E1524" s="3" t="s">
        <v>49</v>
      </c>
      <c r="F1524" s="3" t="s">
        <v>80</v>
      </c>
      <c r="G1524" s="3">
        <v>2016</v>
      </c>
      <c r="H1524" s="3" t="str">
        <f>CONCATENATE("64240261012")</f>
        <v>64240261012</v>
      </c>
      <c r="I1524" s="3" t="s">
        <v>25</v>
      </c>
      <c r="J1524" s="3" t="s">
        <v>26</v>
      </c>
      <c r="K1524" s="3" t="str">
        <f t="shared" si="53"/>
        <v/>
      </c>
      <c r="L1524" s="3" t="str">
        <f>CONCATENATE("11 11.1 4b")</f>
        <v>11 11.1 4b</v>
      </c>
      <c r="M1524" s="3" t="str">
        <f>CONCATENATE("RCCDLU43C55I156B")</f>
        <v>RCCDLU43C55I156B</v>
      </c>
      <c r="N1524" s="3" t="s">
        <v>1573</v>
      </c>
      <c r="O1524" s="3"/>
      <c r="P1524" s="4">
        <v>42783</v>
      </c>
      <c r="Q1524" s="3" t="s">
        <v>27</v>
      </c>
      <c r="R1524" s="3" t="s">
        <v>28</v>
      </c>
      <c r="S1524" s="3" t="s">
        <v>29</v>
      </c>
      <c r="T1524" s="5">
        <v>3562.7</v>
      </c>
      <c r="U1524" s="5">
        <v>1536.24</v>
      </c>
      <c r="V1524" s="5">
        <v>1418.67</v>
      </c>
      <c r="W1524" s="3">
        <v>607.79</v>
      </c>
    </row>
    <row r="1525" spans="1:23" ht="60.75">
      <c r="A1525" s="3" t="s">
        <v>23</v>
      </c>
      <c r="B1525" s="3" t="s">
        <v>24</v>
      </c>
      <c r="C1525" s="3" t="s">
        <v>35</v>
      </c>
      <c r="D1525" s="3" t="s">
        <v>43</v>
      </c>
      <c r="E1525" s="3" t="s">
        <v>30</v>
      </c>
      <c r="F1525" s="3" t="s">
        <v>104</v>
      </c>
      <c r="G1525" s="3">
        <v>2016</v>
      </c>
      <c r="H1525" s="3" t="str">
        <f>CONCATENATE("64240217600")</f>
        <v>64240217600</v>
      </c>
      <c r="I1525" s="3" t="s">
        <v>25</v>
      </c>
      <c r="J1525" s="3" t="s">
        <v>26</v>
      </c>
      <c r="K1525" s="3" t="str">
        <f t="shared" si="53"/>
        <v/>
      </c>
      <c r="L1525" s="3" t="str">
        <f>CONCATENATE("11 11.2 4b")</f>
        <v>11 11.2 4b</v>
      </c>
      <c r="M1525" s="3" t="str">
        <f>CONCATENATE("NCCPLC57M56F450W")</f>
        <v>NCCPLC57M56F450W</v>
      </c>
      <c r="N1525" s="3" t="s">
        <v>1574</v>
      </c>
      <c r="O1525" s="3"/>
      <c r="P1525" s="4">
        <v>42783</v>
      </c>
      <c r="Q1525" s="3" t="s">
        <v>27</v>
      </c>
      <c r="R1525" s="3" t="s">
        <v>28</v>
      </c>
      <c r="S1525" s="3" t="s">
        <v>29</v>
      </c>
      <c r="T1525" s="5">
        <v>6834.53</v>
      </c>
      <c r="U1525" s="5">
        <v>2947.05</v>
      </c>
      <c r="V1525" s="5">
        <v>2721.51</v>
      </c>
      <c r="W1525" s="5">
        <v>1165.97</v>
      </c>
    </row>
    <row r="1526" spans="1:23" ht="60.75">
      <c r="A1526" s="3" t="s">
        <v>23</v>
      </c>
      <c r="B1526" s="3" t="s">
        <v>24</v>
      </c>
      <c r="C1526" s="3" t="s">
        <v>35</v>
      </c>
      <c r="D1526" s="3" t="s">
        <v>39</v>
      </c>
      <c r="E1526" s="3" t="s">
        <v>32</v>
      </c>
      <c r="F1526" s="3" t="s">
        <v>215</v>
      </c>
      <c r="G1526" s="3">
        <v>2016</v>
      </c>
      <c r="H1526" s="3" t="str">
        <f>CONCATENATE("64240344354")</f>
        <v>64240344354</v>
      </c>
      <c r="I1526" s="3" t="s">
        <v>25</v>
      </c>
      <c r="J1526" s="3" t="s">
        <v>26</v>
      </c>
      <c r="K1526" s="3" t="str">
        <f t="shared" si="53"/>
        <v/>
      </c>
      <c r="L1526" s="3" t="str">
        <f>CONCATENATE("11 11.2 4b")</f>
        <v>11 11.2 4b</v>
      </c>
      <c r="M1526" s="3" t="str">
        <f>CONCATENATE("ZCCRLL63A48E388M")</f>
        <v>ZCCRLL63A48E388M</v>
      </c>
      <c r="N1526" s="3" t="s">
        <v>1575</v>
      </c>
      <c r="O1526" s="3"/>
      <c r="P1526" s="4">
        <v>42783</v>
      </c>
      <c r="Q1526" s="3" t="s">
        <v>27</v>
      </c>
      <c r="R1526" s="3" t="s">
        <v>28</v>
      </c>
      <c r="S1526" s="3" t="s">
        <v>29</v>
      </c>
      <c r="T1526" s="5">
        <v>7109.46</v>
      </c>
      <c r="U1526" s="5">
        <v>3065.6</v>
      </c>
      <c r="V1526" s="5">
        <v>2830.99</v>
      </c>
      <c r="W1526" s="5">
        <v>1212.8699999999999</v>
      </c>
    </row>
    <row r="1527" spans="1:23" ht="36.75">
      <c r="A1527" s="3" t="s">
        <v>23</v>
      </c>
      <c r="B1527" s="3" t="s">
        <v>24</v>
      </c>
      <c r="C1527" s="3" t="s">
        <v>35</v>
      </c>
      <c r="D1527" s="3" t="s">
        <v>48</v>
      </c>
      <c r="E1527" s="3" t="s">
        <v>49</v>
      </c>
      <c r="F1527" s="3" t="s">
        <v>779</v>
      </c>
      <c r="G1527" s="3">
        <v>2016</v>
      </c>
      <c r="H1527" s="3" t="str">
        <f>CONCATENATE("64240744264")</f>
        <v>64240744264</v>
      </c>
      <c r="I1527" s="3" t="s">
        <v>31</v>
      </c>
      <c r="J1527" s="3" t="s">
        <v>26</v>
      </c>
      <c r="K1527" s="3" t="str">
        <f t="shared" si="53"/>
        <v/>
      </c>
      <c r="L1527" s="3" t="str">
        <f>CONCATENATE("11 11.2 4b")</f>
        <v>11 11.2 4b</v>
      </c>
      <c r="M1527" s="3" t="str">
        <f>CONCATENATE("01711460434")</f>
        <v>01711460434</v>
      </c>
      <c r="N1527" s="3" t="s">
        <v>1576</v>
      </c>
      <c r="O1527" s="3"/>
      <c r="P1527" s="4">
        <v>42783</v>
      </c>
      <c r="Q1527" s="3" t="s">
        <v>27</v>
      </c>
      <c r="R1527" s="3" t="s">
        <v>28</v>
      </c>
      <c r="S1527" s="3" t="s">
        <v>29</v>
      </c>
      <c r="T1527" s="5">
        <v>10966.23</v>
      </c>
      <c r="U1527" s="5">
        <v>4728.6400000000003</v>
      </c>
      <c r="V1527" s="5">
        <v>4366.75</v>
      </c>
      <c r="W1527" s="5">
        <v>1870.84</v>
      </c>
    </row>
    <row r="1528" spans="1:23" ht="72.75">
      <c r="A1528" s="3" t="s">
        <v>23</v>
      </c>
      <c r="B1528" s="3" t="s">
        <v>24</v>
      </c>
      <c r="C1528" s="3" t="s">
        <v>35</v>
      </c>
      <c r="D1528" s="3" t="s">
        <v>48</v>
      </c>
      <c r="E1528" s="3" t="s">
        <v>30</v>
      </c>
      <c r="F1528" s="3" t="s">
        <v>91</v>
      </c>
      <c r="G1528" s="3">
        <v>2016</v>
      </c>
      <c r="H1528" s="3" t="str">
        <f>CONCATENATE("64240317475")</f>
        <v>64240317475</v>
      </c>
      <c r="I1528" s="3" t="s">
        <v>25</v>
      </c>
      <c r="J1528" s="3" t="s">
        <v>26</v>
      </c>
      <c r="K1528" s="3" t="str">
        <f t="shared" si="53"/>
        <v/>
      </c>
      <c r="L1528" s="3" t="str">
        <f>CONCATENATE("11 11.1 4b")</f>
        <v>11 11.1 4b</v>
      </c>
      <c r="M1528" s="3" t="str">
        <f>CONCATENATE("MSCFNC63H10B474B")</f>
        <v>MSCFNC63H10B474B</v>
      </c>
      <c r="N1528" s="3" t="s">
        <v>1577</v>
      </c>
      <c r="O1528" s="3"/>
      <c r="P1528" s="4">
        <v>42783</v>
      </c>
      <c r="Q1528" s="3" t="s">
        <v>27</v>
      </c>
      <c r="R1528" s="3" t="s">
        <v>28</v>
      </c>
      <c r="S1528" s="3" t="s">
        <v>29</v>
      </c>
      <c r="T1528" s="5">
        <v>9059.4</v>
      </c>
      <c r="U1528" s="5">
        <v>3906.41</v>
      </c>
      <c r="V1528" s="5">
        <v>3607.45</v>
      </c>
      <c r="W1528" s="5">
        <v>1545.54</v>
      </c>
    </row>
    <row r="1529" spans="1:23" ht="60.75">
      <c r="A1529" s="3" t="s">
        <v>23</v>
      </c>
      <c r="B1529" s="3" t="s">
        <v>24</v>
      </c>
      <c r="C1529" s="3" t="s">
        <v>35</v>
      </c>
      <c r="D1529" s="3" t="s">
        <v>39</v>
      </c>
      <c r="E1529" s="3" t="s">
        <v>30</v>
      </c>
      <c r="F1529" s="3" t="s">
        <v>285</v>
      </c>
      <c r="G1529" s="3">
        <v>2016</v>
      </c>
      <c r="H1529" s="3" t="str">
        <f>CONCATENATE("64240581583")</f>
        <v>64240581583</v>
      </c>
      <c r="I1529" s="3" t="s">
        <v>25</v>
      </c>
      <c r="J1529" s="3" t="s">
        <v>26</v>
      </c>
      <c r="K1529" s="3" t="str">
        <f t="shared" si="53"/>
        <v/>
      </c>
      <c r="L1529" s="3" t="str">
        <f>CONCATENATE("11 11.2 4b")</f>
        <v>11 11.2 4b</v>
      </c>
      <c r="M1529" s="3" t="str">
        <f>CONCATENATE("MRNFST60C03H321E")</f>
        <v>MRNFST60C03H321E</v>
      </c>
      <c r="N1529" s="3" t="s">
        <v>1578</v>
      </c>
      <c r="O1529" s="3"/>
      <c r="P1529" s="4">
        <v>42783</v>
      </c>
      <c r="Q1529" s="3" t="s">
        <v>27</v>
      </c>
      <c r="R1529" s="3" t="s">
        <v>28</v>
      </c>
      <c r="S1529" s="3" t="s">
        <v>29</v>
      </c>
      <c r="T1529" s="5">
        <v>1194.6300000000001</v>
      </c>
      <c r="U1529" s="3">
        <v>515.12</v>
      </c>
      <c r="V1529" s="3">
        <v>475.7</v>
      </c>
      <c r="W1529" s="3">
        <v>203.81</v>
      </c>
    </row>
    <row r="1530" spans="1:23" ht="60.75">
      <c r="A1530" s="3" t="s">
        <v>23</v>
      </c>
      <c r="B1530" s="3" t="s">
        <v>24</v>
      </c>
      <c r="C1530" s="3" t="s">
        <v>35</v>
      </c>
      <c r="D1530" s="3" t="s">
        <v>43</v>
      </c>
      <c r="E1530" s="3" t="s">
        <v>32</v>
      </c>
      <c r="F1530" s="3" t="s">
        <v>44</v>
      </c>
      <c r="G1530" s="3">
        <v>2016</v>
      </c>
      <c r="H1530" s="3" t="str">
        <f>CONCATENATE("64240394896")</f>
        <v>64240394896</v>
      </c>
      <c r="I1530" s="3" t="s">
        <v>25</v>
      </c>
      <c r="J1530" s="3" t="s">
        <v>26</v>
      </c>
      <c r="K1530" s="3" t="str">
        <f t="shared" si="53"/>
        <v/>
      </c>
      <c r="L1530" s="3" t="str">
        <f>CONCATENATE("11 11.2 4b")</f>
        <v>11 11.2 4b</v>
      </c>
      <c r="M1530" s="3" t="str">
        <f>CONCATENATE("FLMLTT68P43D749M")</f>
        <v>FLMLTT68P43D749M</v>
      </c>
      <c r="N1530" s="3" t="s">
        <v>1579</v>
      </c>
      <c r="O1530" s="3"/>
      <c r="P1530" s="4">
        <v>42783</v>
      </c>
      <c r="Q1530" s="3" t="s">
        <v>27</v>
      </c>
      <c r="R1530" s="3" t="s">
        <v>28</v>
      </c>
      <c r="S1530" s="3" t="s">
        <v>29</v>
      </c>
      <c r="T1530" s="5">
        <v>1172.06</v>
      </c>
      <c r="U1530" s="3">
        <v>505.39</v>
      </c>
      <c r="V1530" s="3">
        <v>466.71</v>
      </c>
      <c r="W1530" s="3">
        <v>199.96</v>
      </c>
    </row>
    <row r="1531" spans="1:23" ht="60.75">
      <c r="A1531" s="3" t="s">
        <v>23</v>
      </c>
      <c r="B1531" s="3" t="s">
        <v>24</v>
      </c>
      <c r="C1531" s="3" t="s">
        <v>35</v>
      </c>
      <c r="D1531" s="3" t="s">
        <v>48</v>
      </c>
      <c r="E1531" s="3" t="s">
        <v>30</v>
      </c>
      <c r="F1531" s="3" t="s">
        <v>91</v>
      </c>
      <c r="G1531" s="3">
        <v>2016</v>
      </c>
      <c r="H1531" s="3" t="str">
        <f>CONCATENATE("64240668125")</f>
        <v>64240668125</v>
      </c>
      <c r="I1531" s="3" t="s">
        <v>25</v>
      </c>
      <c r="J1531" s="3" t="s">
        <v>26</v>
      </c>
      <c r="K1531" s="3" t="str">
        <f t="shared" si="53"/>
        <v/>
      </c>
      <c r="L1531" s="3" t="str">
        <f>CONCATENATE("11 11.1 4b")</f>
        <v>11 11.1 4b</v>
      </c>
      <c r="M1531" s="3" t="str">
        <f>CONCATENATE("NGLGNN90P20B474S")</f>
        <v>NGLGNN90P20B474S</v>
      </c>
      <c r="N1531" s="3" t="s">
        <v>1580</v>
      </c>
      <c r="O1531" s="3"/>
      <c r="P1531" s="4">
        <v>42783</v>
      </c>
      <c r="Q1531" s="3" t="s">
        <v>27</v>
      </c>
      <c r="R1531" s="3" t="s">
        <v>28</v>
      </c>
      <c r="S1531" s="3" t="s">
        <v>29</v>
      </c>
      <c r="T1531" s="5">
        <v>1472</v>
      </c>
      <c r="U1531" s="3">
        <v>634.73</v>
      </c>
      <c r="V1531" s="3">
        <v>586.15</v>
      </c>
      <c r="W1531" s="3">
        <v>251.12</v>
      </c>
    </row>
    <row r="1532" spans="1:23" ht="60.75">
      <c r="A1532" s="3" t="s">
        <v>23</v>
      </c>
      <c r="B1532" s="3" t="s">
        <v>24</v>
      </c>
      <c r="C1532" s="3" t="s">
        <v>35</v>
      </c>
      <c r="D1532" s="3" t="s">
        <v>43</v>
      </c>
      <c r="E1532" s="3" t="s">
        <v>49</v>
      </c>
      <c r="F1532" s="3" t="s">
        <v>139</v>
      </c>
      <c r="G1532" s="3">
        <v>2016</v>
      </c>
      <c r="H1532" s="3" t="str">
        <f>CONCATENATE("64240334926")</f>
        <v>64240334926</v>
      </c>
      <c r="I1532" s="3" t="s">
        <v>25</v>
      </c>
      <c r="J1532" s="3" t="s">
        <v>26</v>
      </c>
      <c r="K1532" s="3" t="str">
        <f t="shared" si="53"/>
        <v/>
      </c>
      <c r="L1532" s="3" t="str">
        <f>CONCATENATE("11 11.2 4b")</f>
        <v>11 11.2 4b</v>
      </c>
      <c r="M1532" s="3" t="str">
        <f>CONCATENATE("CNNSVT33A20A895K")</f>
        <v>CNNSVT33A20A895K</v>
      </c>
      <c r="N1532" s="3" t="s">
        <v>1581</v>
      </c>
      <c r="O1532" s="3"/>
      <c r="P1532" s="4">
        <v>42783</v>
      </c>
      <c r="Q1532" s="3" t="s">
        <v>27</v>
      </c>
      <c r="R1532" s="3" t="s">
        <v>28</v>
      </c>
      <c r="S1532" s="3" t="s">
        <v>29</v>
      </c>
      <c r="T1532" s="5">
        <v>23110.99</v>
      </c>
      <c r="U1532" s="5">
        <v>9965.4599999999991</v>
      </c>
      <c r="V1532" s="5">
        <v>9202.7999999999993</v>
      </c>
      <c r="W1532" s="5">
        <v>3942.73</v>
      </c>
    </row>
    <row r="1533" spans="1:23" ht="72.75">
      <c r="A1533" s="3" t="s">
        <v>23</v>
      </c>
      <c r="B1533" s="3" t="s">
        <v>24</v>
      </c>
      <c r="C1533" s="3" t="s">
        <v>35</v>
      </c>
      <c r="D1533" s="3" t="s">
        <v>39</v>
      </c>
      <c r="E1533" s="3" t="s">
        <v>49</v>
      </c>
      <c r="F1533" s="3" t="s">
        <v>80</v>
      </c>
      <c r="G1533" s="3">
        <v>2016</v>
      </c>
      <c r="H1533" s="3" t="str">
        <f>CONCATENATE("64240421657")</f>
        <v>64240421657</v>
      </c>
      <c r="I1533" s="3" t="s">
        <v>25</v>
      </c>
      <c r="J1533" s="3" t="s">
        <v>26</v>
      </c>
      <c r="K1533" s="3" t="str">
        <f t="shared" si="53"/>
        <v/>
      </c>
      <c r="L1533" s="3" t="str">
        <f>CONCATENATE("11 11.2 4b")</f>
        <v>11 11.2 4b</v>
      </c>
      <c r="M1533" s="3" t="str">
        <f>CONCATENATE("SBFFNC69A15D403H")</f>
        <v>SBFFNC69A15D403H</v>
      </c>
      <c r="N1533" s="3" t="s">
        <v>1582</v>
      </c>
      <c r="O1533" s="3"/>
      <c r="P1533" s="4">
        <v>42783</v>
      </c>
      <c r="Q1533" s="3" t="s">
        <v>27</v>
      </c>
      <c r="R1533" s="3" t="s">
        <v>28</v>
      </c>
      <c r="S1533" s="3" t="s">
        <v>29</v>
      </c>
      <c r="T1533" s="5">
        <v>1203.48</v>
      </c>
      <c r="U1533" s="3">
        <v>518.94000000000005</v>
      </c>
      <c r="V1533" s="3">
        <v>479.23</v>
      </c>
      <c r="W1533" s="3">
        <v>205.31</v>
      </c>
    </row>
    <row r="1534" spans="1:23" ht="60.75">
      <c r="A1534" s="3" t="s">
        <v>23</v>
      </c>
      <c r="B1534" s="3" t="s">
        <v>24</v>
      </c>
      <c r="C1534" s="3" t="s">
        <v>35</v>
      </c>
      <c r="D1534" s="3" t="s">
        <v>48</v>
      </c>
      <c r="E1534" s="3" t="s">
        <v>30</v>
      </c>
      <c r="F1534" s="3" t="s">
        <v>37</v>
      </c>
      <c r="G1534" s="3">
        <v>2016</v>
      </c>
      <c r="H1534" s="3" t="str">
        <f>CONCATENATE("64240511747")</f>
        <v>64240511747</v>
      </c>
      <c r="I1534" s="3" t="s">
        <v>25</v>
      </c>
      <c r="J1534" s="3" t="s">
        <v>26</v>
      </c>
      <c r="K1534" s="3" t="str">
        <f t="shared" si="53"/>
        <v/>
      </c>
      <c r="L1534" s="3" t="str">
        <f>CONCATENATE("11 11.1 4b")</f>
        <v>11 11.1 4b</v>
      </c>
      <c r="M1534" s="3" t="str">
        <f>CONCATENATE("NTLPLA67B18G436H")</f>
        <v>NTLPLA67B18G436H</v>
      </c>
      <c r="N1534" s="3" t="s">
        <v>1583</v>
      </c>
      <c r="O1534" s="3"/>
      <c r="P1534" s="4">
        <v>42783</v>
      </c>
      <c r="Q1534" s="3" t="s">
        <v>27</v>
      </c>
      <c r="R1534" s="3" t="s">
        <v>28</v>
      </c>
      <c r="S1534" s="3" t="s">
        <v>29</v>
      </c>
      <c r="T1534" s="5">
        <v>4393.5200000000004</v>
      </c>
      <c r="U1534" s="5">
        <v>1894.49</v>
      </c>
      <c r="V1534" s="5">
        <v>1749.5</v>
      </c>
      <c r="W1534" s="3">
        <v>749.53</v>
      </c>
    </row>
    <row r="1535" spans="1:23" ht="36.75">
      <c r="A1535" s="3" t="s">
        <v>23</v>
      </c>
      <c r="B1535" s="3" t="s">
        <v>24</v>
      </c>
      <c r="C1535" s="3" t="s">
        <v>35</v>
      </c>
      <c r="D1535" s="3" t="s">
        <v>43</v>
      </c>
      <c r="E1535" s="3" t="s">
        <v>33</v>
      </c>
      <c r="F1535" s="3" t="s">
        <v>122</v>
      </c>
      <c r="G1535" s="3">
        <v>2016</v>
      </c>
      <c r="H1535" s="3" t="str">
        <f>CONCATENATE("64240887303")</f>
        <v>64240887303</v>
      </c>
      <c r="I1535" s="3" t="s">
        <v>25</v>
      </c>
      <c r="J1535" s="3" t="s">
        <v>26</v>
      </c>
      <c r="K1535" s="3" t="str">
        <f t="shared" si="53"/>
        <v/>
      </c>
      <c r="L1535" s="3" t="str">
        <f>CONCATENATE("11 11.1 4b")</f>
        <v>11 11.1 4b</v>
      </c>
      <c r="M1535" s="3" t="str">
        <f>CONCATENATE("02605260419")</f>
        <v>02605260419</v>
      </c>
      <c r="N1535" s="3" t="s">
        <v>1584</v>
      </c>
      <c r="O1535" s="3"/>
      <c r="P1535" s="4">
        <v>42783</v>
      </c>
      <c r="Q1535" s="3" t="s">
        <v>27</v>
      </c>
      <c r="R1535" s="3" t="s">
        <v>28</v>
      </c>
      <c r="S1535" s="3" t="s">
        <v>29</v>
      </c>
      <c r="T1535" s="5">
        <v>5902.08</v>
      </c>
      <c r="U1535" s="5">
        <v>2544.98</v>
      </c>
      <c r="V1535" s="5">
        <v>2350.21</v>
      </c>
      <c r="W1535" s="5">
        <v>1006.89</v>
      </c>
    </row>
    <row r="1536" spans="1:23" ht="72.75">
      <c r="A1536" s="3" t="s">
        <v>23</v>
      </c>
      <c r="B1536" s="3" t="s">
        <v>24</v>
      </c>
      <c r="C1536" s="3" t="s">
        <v>35</v>
      </c>
      <c r="D1536" s="3" t="s">
        <v>48</v>
      </c>
      <c r="E1536" s="3" t="s">
        <v>30</v>
      </c>
      <c r="F1536" s="3" t="s">
        <v>91</v>
      </c>
      <c r="G1536" s="3">
        <v>2016</v>
      </c>
      <c r="H1536" s="3" t="str">
        <f>CONCATENATE("64240318168")</f>
        <v>64240318168</v>
      </c>
      <c r="I1536" s="3" t="s">
        <v>25</v>
      </c>
      <c r="J1536" s="3" t="s">
        <v>26</v>
      </c>
      <c r="K1536" s="3" t="str">
        <f t="shared" si="53"/>
        <v/>
      </c>
      <c r="L1536" s="3" t="str">
        <f>CONCATENATE("11 11.1 4b")</f>
        <v>11 11.1 4b</v>
      </c>
      <c r="M1536" s="3" t="str">
        <f>CONCATENATE("RVRLGU24H17G657O")</f>
        <v>RVRLGU24H17G657O</v>
      </c>
      <c r="N1536" s="3" t="s">
        <v>1585</v>
      </c>
      <c r="O1536" s="3"/>
      <c r="P1536" s="4">
        <v>42783</v>
      </c>
      <c r="Q1536" s="3" t="s">
        <v>27</v>
      </c>
      <c r="R1536" s="3" t="s">
        <v>28</v>
      </c>
      <c r="S1536" s="3" t="s">
        <v>29</v>
      </c>
      <c r="T1536" s="5">
        <v>1541.05</v>
      </c>
      <c r="U1536" s="3">
        <v>664.5</v>
      </c>
      <c r="V1536" s="3">
        <v>613.65</v>
      </c>
      <c r="W1536" s="3">
        <v>262.89999999999998</v>
      </c>
    </row>
    <row r="1537" spans="1:23" ht="60.75">
      <c r="A1537" s="3" t="s">
        <v>23</v>
      </c>
      <c r="B1537" s="3" t="s">
        <v>24</v>
      </c>
      <c r="C1537" s="3" t="s">
        <v>35</v>
      </c>
      <c r="D1537" s="3" t="s">
        <v>43</v>
      </c>
      <c r="E1537" s="3" t="s">
        <v>49</v>
      </c>
      <c r="F1537" s="3" t="s">
        <v>139</v>
      </c>
      <c r="G1537" s="3">
        <v>2016</v>
      </c>
      <c r="H1537" s="3" t="str">
        <f>CONCATENATE("64240552030")</f>
        <v>64240552030</v>
      </c>
      <c r="I1537" s="3" t="s">
        <v>25</v>
      </c>
      <c r="J1537" s="3" t="s">
        <v>26</v>
      </c>
      <c r="K1537" s="3" t="str">
        <f t="shared" si="53"/>
        <v/>
      </c>
      <c r="L1537" s="3" t="str">
        <f>CONCATENATE("11 11.1 4b")</f>
        <v>11 11.1 4b</v>
      </c>
      <c r="M1537" s="3" t="str">
        <f>CONCATENATE("CRBSNT97R52L500U")</f>
        <v>CRBSNT97R52L500U</v>
      </c>
      <c r="N1537" s="3" t="s">
        <v>1586</v>
      </c>
      <c r="O1537" s="3"/>
      <c r="P1537" s="4">
        <v>42783</v>
      </c>
      <c r="Q1537" s="3" t="s">
        <v>27</v>
      </c>
      <c r="R1537" s="3" t="s">
        <v>28</v>
      </c>
      <c r="S1537" s="3" t="s">
        <v>29</v>
      </c>
      <c r="T1537" s="5">
        <v>3671.45</v>
      </c>
      <c r="U1537" s="5">
        <v>1583.13</v>
      </c>
      <c r="V1537" s="5">
        <v>1461.97</v>
      </c>
      <c r="W1537" s="3">
        <v>626.35</v>
      </c>
    </row>
    <row r="1538" spans="1:23" ht="60.75">
      <c r="A1538" s="3" t="s">
        <v>23</v>
      </c>
      <c r="B1538" s="3" t="s">
        <v>24</v>
      </c>
      <c r="C1538" s="3" t="s">
        <v>35</v>
      </c>
      <c r="D1538" s="3" t="s">
        <v>39</v>
      </c>
      <c r="E1538" s="3" t="s">
        <v>30</v>
      </c>
      <c r="F1538" s="3" t="s">
        <v>84</v>
      </c>
      <c r="G1538" s="3">
        <v>2016</v>
      </c>
      <c r="H1538" s="3" t="str">
        <f>CONCATENATE("64240723268")</f>
        <v>64240723268</v>
      </c>
      <c r="I1538" s="3" t="s">
        <v>25</v>
      </c>
      <c r="J1538" s="3" t="s">
        <v>26</v>
      </c>
      <c r="K1538" s="3" t="str">
        <f t="shared" si="53"/>
        <v/>
      </c>
      <c r="L1538" s="3" t="str">
        <f>CONCATENATE("11 11.1 4b")</f>
        <v>11 11.1 4b</v>
      </c>
      <c r="M1538" s="3" t="str">
        <f>CONCATENATE("BRTFLV45C31D451W")</f>
        <v>BRTFLV45C31D451W</v>
      </c>
      <c r="N1538" s="3" t="s">
        <v>1587</v>
      </c>
      <c r="O1538" s="3"/>
      <c r="P1538" s="4">
        <v>42783</v>
      </c>
      <c r="Q1538" s="3" t="s">
        <v>27</v>
      </c>
      <c r="R1538" s="3" t="s">
        <v>28</v>
      </c>
      <c r="S1538" s="3" t="s">
        <v>29</v>
      </c>
      <c r="T1538" s="5">
        <v>10554.59</v>
      </c>
      <c r="U1538" s="5">
        <v>4551.1400000000003</v>
      </c>
      <c r="V1538" s="5">
        <v>4202.84</v>
      </c>
      <c r="W1538" s="5">
        <v>1800.61</v>
      </c>
    </row>
    <row r="1539" spans="1:23" ht="72.75">
      <c r="A1539" s="3" t="s">
        <v>23</v>
      </c>
      <c r="B1539" s="3" t="s">
        <v>24</v>
      </c>
      <c r="C1539" s="3" t="s">
        <v>35</v>
      </c>
      <c r="D1539" s="3" t="s">
        <v>43</v>
      </c>
      <c r="E1539" s="3" t="s">
        <v>33</v>
      </c>
      <c r="F1539" s="3" t="s">
        <v>848</v>
      </c>
      <c r="G1539" s="3">
        <v>2016</v>
      </c>
      <c r="H1539" s="3" t="str">
        <f>CONCATENATE("64240792149")</f>
        <v>64240792149</v>
      </c>
      <c r="I1539" s="3" t="s">
        <v>25</v>
      </c>
      <c r="J1539" s="3" t="s">
        <v>26</v>
      </c>
      <c r="K1539" s="3" t="str">
        <f t="shared" si="53"/>
        <v/>
      </c>
      <c r="L1539" s="3" t="str">
        <f>CONCATENATE("11 11.2 4b")</f>
        <v>11 11.2 4b</v>
      </c>
      <c r="M1539" s="3" t="str">
        <f>CONCATENATE("DMNRRT61M22I459L")</f>
        <v>DMNRRT61M22I459L</v>
      </c>
      <c r="N1539" s="3" t="s">
        <v>1588</v>
      </c>
      <c r="O1539" s="3"/>
      <c r="P1539" s="4">
        <v>42783</v>
      </c>
      <c r="Q1539" s="3" t="s">
        <v>27</v>
      </c>
      <c r="R1539" s="3" t="s">
        <v>28</v>
      </c>
      <c r="S1539" s="3" t="s">
        <v>29</v>
      </c>
      <c r="T1539" s="5">
        <v>2830.41</v>
      </c>
      <c r="U1539" s="5">
        <v>1220.47</v>
      </c>
      <c r="V1539" s="5">
        <v>1127.07</v>
      </c>
      <c r="W1539" s="3">
        <v>482.87</v>
      </c>
    </row>
    <row r="1540" spans="1:23" ht="36.75">
      <c r="A1540" s="3" t="s">
        <v>23</v>
      </c>
      <c r="B1540" s="3" t="s">
        <v>24</v>
      </c>
      <c r="C1540" s="3" t="s">
        <v>35</v>
      </c>
      <c r="D1540" s="3" t="s">
        <v>43</v>
      </c>
      <c r="E1540" s="3" t="s">
        <v>49</v>
      </c>
      <c r="F1540" s="3" t="s">
        <v>139</v>
      </c>
      <c r="G1540" s="3">
        <v>2016</v>
      </c>
      <c r="H1540" s="3" t="str">
        <f>CONCATENATE("64240356200")</f>
        <v>64240356200</v>
      </c>
      <c r="I1540" s="3" t="s">
        <v>25</v>
      </c>
      <c r="J1540" s="3" t="s">
        <v>26</v>
      </c>
      <c r="K1540" s="3" t="str">
        <f t="shared" si="53"/>
        <v/>
      </c>
      <c r="L1540" s="3" t="str">
        <f>CONCATENATE("11 11.2 4b")</f>
        <v>11 11.2 4b</v>
      </c>
      <c r="M1540" s="3" t="str">
        <f>CONCATENATE("02332640412")</f>
        <v>02332640412</v>
      </c>
      <c r="N1540" s="3" t="s">
        <v>1589</v>
      </c>
      <c r="O1540" s="3"/>
      <c r="P1540" s="4">
        <v>42783</v>
      </c>
      <c r="Q1540" s="3" t="s">
        <v>27</v>
      </c>
      <c r="R1540" s="3" t="s">
        <v>28</v>
      </c>
      <c r="S1540" s="3" t="s">
        <v>29</v>
      </c>
      <c r="T1540" s="5">
        <v>1720.85</v>
      </c>
      <c r="U1540" s="3">
        <v>742.03</v>
      </c>
      <c r="V1540" s="3">
        <v>685.24</v>
      </c>
      <c r="W1540" s="3">
        <v>293.58</v>
      </c>
    </row>
    <row r="1541" spans="1:23" ht="36.75">
      <c r="A1541" s="3" t="s">
        <v>23</v>
      </c>
      <c r="B1541" s="3" t="s">
        <v>24</v>
      </c>
      <c r="C1541" s="3" t="s">
        <v>35</v>
      </c>
      <c r="D1541" s="3" t="s">
        <v>43</v>
      </c>
      <c r="E1541" s="3" t="s">
        <v>30</v>
      </c>
      <c r="F1541" s="3" t="s">
        <v>113</v>
      </c>
      <c r="G1541" s="3">
        <v>2016</v>
      </c>
      <c r="H1541" s="3" t="str">
        <f>CONCATENATE("64210908618")</f>
        <v>64210908618</v>
      </c>
      <c r="I1541" s="3" t="s">
        <v>25</v>
      </c>
      <c r="J1541" s="3" t="s">
        <v>26</v>
      </c>
      <c r="K1541" s="3" t="str">
        <f t="shared" si="53"/>
        <v/>
      </c>
      <c r="L1541" s="3" t="str">
        <f>CONCATENATE("13 13.1 4a")</f>
        <v>13 13.1 4a</v>
      </c>
      <c r="M1541" s="3" t="str">
        <f>CONCATENATE("02212780411")</f>
        <v>02212780411</v>
      </c>
      <c r="N1541" s="3" t="s">
        <v>1590</v>
      </c>
      <c r="O1541" s="3"/>
      <c r="P1541" s="4">
        <v>42783</v>
      </c>
      <c r="Q1541" s="3" t="s">
        <v>27</v>
      </c>
      <c r="R1541" s="3" t="s">
        <v>28</v>
      </c>
      <c r="S1541" s="3" t="s">
        <v>29</v>
      </c>
      <c r="T1541" s="5">
        <v>5346</v>
      </c>
      <c r="U1541" s="5">
        <v>2305.1999999999998</v>
      </c>
      <c r="V1541" s="5">
        <v>2128.7800000000002</v>
      </c>
      <c r="W1541" s="3">
        <v>912.02</v>
      </c>
    </row>
    <row r="1542" spans="1:23" ht="36.75">
      <c r="A1542" s="3" t="s">
        <v>23</v>
      </c>
      <c r="B1542" s="3" t="s">
        <v>24</v>
      </c>
      <c r="C1542" s="3" t="s">
        <v>35</v>
      </c>
      <c r="D1542" s="3" t="s">
        <v>43</v>
      </c>
      <c r="E1542" s="3" t="s">
        <v>30</v>
      </c>
      <c r="F1542" s="3" t="s">
        <v>113</v>
      </c>
      <c r="G1542" s="3">
        <v>2016</v>
      </c>
      <c r="H1542" s="3" t="str">
        <f>CONCATENATE("64240729174")</f>
        <v>64240729174</v>
      </c>
      <c r="I1542" s="3" t="s">
        <v>25</v>
      </c>
      <c r="J1542" s="3" t="s">
        <v>26</v>
      </c>
      <c r="K1542" s="3" t="str">
        <f t="shared" si="53"/>
        <v/>
      </c>
      <c r="L1542" s="3" t="str">
        <f>CONCATENATE("10 10.1 4a")</f>
        <v>10 10.1 4a</v>
      </c>
      <c r="M1542" s="3" t="str">
        <f>CONCATENATE("02212780411")</f>
        <v>02212780411</v>
      </c>
      <c r="N1542" s="3" t="s">
        <v>1590</v>
      </c>
      <c r="O1542" s="3"/>
      <c r="P1542" s="4">
        <v>42783</v>
      </c>
      <c r="Q1542" s="3" t="s">
        <v>27</v>
      </c>
      <c r="R1542" s="3" t="s">
        <v>28</v>
      </c>
      <c r="S1542" s="3" t="s">
        <v>29</v>
      </c>
      <c r="T1542" s="5">
        <v>6993.93</v>
      </c>
      <c r="U1542" s="5">
        <v>3015.78</v>
      </c>
      <c r="V1542" s="5">
        <v>2784.98</v>
      </c>
      <c r="W1542" s="5">
        <v>1193.17</v>
      </c>
    </row>
    <row r="1543" spans="1:23" ht="60.75">
      <c r="A1543" s="3" t="s">
        <v>23</v>
      </c>
      <c r="B1543" s="3" t="s">
        <v>24</v>
      </c>
      <c r="C1543" s="3" t="s">
        <v>35</v>
      </c>
      <c r="D1543" s="3" t="s">
        <v>36</v>
      </c>
      <c r="E1543" s="3" t="s">
        <v>30</v>
      </c>
      <c r="F1543" s="3" t="s">
        <v>37</v>
      </c>
      <c r="G1543" s="3">
        <v>2016</v>
      </c>
      <c r="H1543" s="3" t="str">
        <f>CONCATENATE("64240630075")</f>
        <v>64240630075</v>
      </c>
      <c r="I1543" s="3" t="s">
        <v>25</v>
      </c>
      <c r="J1543" s="3" t="s">
        <v>26</v>
      </c>
      <c r="K1543" s="3" t="str">
        <f t="shared" si="53"/>
        <v/>
      </c>
      <c r="L1543" s="3" t="str">
        <f>CONCATENATE("11 11.2 4b")</f>
        <v>11 11.2 4b</v>
      </c>
      <c r="M1543" s="3" t="str">
        <f>CONCATENATE("BTTMLE76M02F415X")</f>
        <v>BTTMLE76M02F415X</v>
      </c>
      <c r="N1543" s="3" t="s">
        <v>1591</v>
      </c>
      <c r="O1543" s="3"/>
      <c r="P1543" s="4">
        <v>42783</v>
      </c>
      <c r="Q1543" s="3" t="s">
        <v>27</v>
      </c>
      <c r="R1543" s="3" t="s">
        <v>28</v>
      </c>
      <c r="S1543" s="3" t="s">
        <v>29</v>
      </c>
      <c r="T1543" s="5">
        <v>7262.14</v>
      </c>
      <c r="U1543" s="5">
        <v>3131.43</v>
      </c>
      <c r="V1543" s="5">
        <v>2891.78</v>
      </c>
      <c r="W1543" s="5">
        <v>1238.93</v>
      </c>
    </row>
    <row r="1544" spans="1:23" ht="60.75">
      <c r="A1544" s="3" t="s">
        <v>23</v>
      </c>
      <c r="B1544" s="3" t="s">
        <v>24</v>
      </c>
      <c r="C1544" s="3" t="s">
        <v>35</v>
      </c>
      <c r="D1544" s="3" t="s">
        <v>43</v>
      </c>
      <c r="E1544" s="3" t="s">
        <v>49</v>
      </c>
      <c r="F1544" s="3" t="s">
        <v>139</v>
      </c>
      <c r="G1544" s="3">
        <v>2016</v>
      </c>
      <c r="H1544" s="3" t="str">
        <f>CONCATENATE("64240475539")</f>
        <v>64240475539</v>
      </c>
      <c r="I1544" s="3" t="s">
        <v>25</v>
      </c>
      <c r="J1544" s="3" t="s">
        <v>26</v>
      </c>
      <c r="K1544" s="3" t="str">
        <f t="shared" si="53"/>
        <v/>
      </c>
      <c r="L1544" s="3" t="str">
        <f>CONCATENATE("11 11.2 4b")</f>
        <v>11 11.2 4b</v>
      </c>
      <c r="M1544" s="3" t="str">
        <f>CONCATENATE("BTTSRN90H46I459Q")</f>
        <v>BTTSRN90H46I459Q</v>
      </c>
      <c r="N1544" s="3" t="s">
        <v>1592</v>
      </c>
      <c r="O1544" s="3"/>
      <c r="P1544" s="4">
        <v>42783</v>
      </c>
      <c r="Q1544" s="3" t="s">
        <v>27</v>
      </c>
      <c r="R1544" s="3" t="s">
        <v>28</v>
      </c>
      <c r="S1544" s="3" t="s">
        <v>29</v>
      </c>
      <c r="T1544" s="5">
        <v>19709.669999999998</v>
      </c>
      <c r="U1544" s="5">
        <v>8498.81</v>
      </c>
      <c r="V1544" s="5">
        <v>7848.39</v>
      </c>
      <c r="W1544" s="5">
        <v>3362.47</v>
      </c>
    </row>
    <row r="1545" spans="1:23" ht="72.75">
      <c r="A1545" s="3" t="s">
        <v>23</v>
      </c>
      <c r="B1545" s="3" t="s">
        <v>24</v>
      </c>
      <c r="C1545" s="3" t="s">
        <v>35</v>
      </c>
      <c r="D1545" s="3" t="s">
        <v>43</v>
      </c>
      <c r="E1545" s="3" t="s">
        <v>34</v>
      </c>
      <c r="F1545" s="3" t="s">
        <v>146</v>
      </c>
      <c r="G1545" s="3">
        <v>2016</v>
      </c>
      <c r="H1545" s="3" t="str">
        <f>CONCATENATE("64240316295")</f>
        <v>64240316295</v>
      </c>
      <c r="I1545" s="3" t="s">
        <v>25</v>
      </c>
      <c r="J1545" s="3" t="s">
        <v>26</v>
      </c>
      <c r="K1545" s="3" t="str">
        <f t="shared" si="53"/>
        <v/>
      </c>
      <c r="L1545" s="3" t="str">
        <f>CONCATENATE("11 11.2 4b")</f>
        <v>11 11.2 4b</v>
      </c>
      <c r="M1545" s="3" t="str">
        <f>CONCATENATE("SCHLNZ81A12D749D")</f>
        <v>SCHLNZ81A12D749D</v>
      </c>
      <c r="N1545" s="3" t="s">
        <v>1593</v>
      </c>
      <c r="O1545" s="3"/>
      <c r="P1545" s="4">
        <v>42783</v>
      </c>
      <c r="Q1545" s="3" t="s">
        <v>27</v>
      </c>
      <c r="R1545" s="3" t="s">
        <v>28</v>
      </c>
      <c r="S1545" s="3" t="s">
        <v>29</v>
      </c>
      <c r="T1545" s="5">
        <v>1237.74</v>
      </c>
      <c r="U1545" s="3">
        <v>533.71</v>
      </c>
      <c r="V1545" s="3">
        <v>492.87</v>
      </c>
      <c r="W1545" s="3">
        <v>211.16</v>
      </c>
    </row>
    <row r="1546" spans="1:23" ht="36.75">
      <c r="A1546" s="3" t="s">
        <v>23</v>
      </c>
      <c r="B1546" s="3" t="s">
        <v>24</v>
      </c>
      <c r="C1546" s="3" t="s">
        <v>35</v>
      </c>
      <c r="D1546" s="3" t="s">
        <v>43</v>
      </c>
      <c r="E1546" s="3" t="s">
        <v>30</v>
      </c>
      <c r="F1546" s="3" t="s">
        <v>131</v>
      </c>
      <c r="G1546" s="3">
        <v>2016</v>
      </c>
      <c r="H1546" s="3" t="str">
        <f>CONCATENATE("64240771580")</f>
        <v>64240771580</v>
      </c>
      <c r="I1546" s="3" t="s">
        <v>25</v>
      </c>
      <c r="J1546" s="3" t="s">
        <v>26</v>
      </c>
      <c r="K1546" s="3" t="str">
        <f t="shared" si="53"/>
        <v/>
      </c>
      <c r="L1546" s="3" t="str">
        <f>CONCATENATE("11 11.2 4b")</f>
        <v>11 11.2 4b</v>
      </c>
      <c r="M1546" s="3" t="str">
        <f>CONCATENATE("02334930415")</f>
        <v>02334930415</v>
      </c>
      <c r="N1546" s="3" t="s">
        <v>1594</v>
      </c>
      <c r="O1546" s="3"/>
      <c r="P1546" s="4">
        <v>42783</v>
      </c>
      <c r="Q1546" s="3" t="s">
        <v>27</v>
      </c>
      <c r="R1546" s="3" t="s">
        <v>28</v>
      </c>
      <c r="S1546" s="3" t="s">
        <v>29</v>
      </c>
      <c r="T1546" s="5">
        <v>9157.17</v>
      </c>
      <c r="U1546" s="5">
        <v>3948.57</v>
      </c>
      <c r="V1546" s="5">
        <v>3646.39</v>
      </c>
      <c r="W1546" s="5">
        <v>1562.21</v>
      </c>
    </row>
    <row r="1547" spans="1:23" ht="60.75">
      <c r="A1547" s="3" t="s">
        <v>23</v>
      </c>
      <c r="B1547" s="3" t="s">
        <v>24</v>
      </c>
      <c r="C1547" s="3" t="s">
        <v>35</v>
      </c>
      <c r="D1547" s="3" t="s">
        <v>48</v>
      </c>
      <c r="E1547" s="3" t="s">
        <v>30</v>
      </c>
      <c r="F1547" s="3" t="s">
        <v>91</v>
      </c>
      <c r="G1547" s="3">
        <v>2016</v>
      </c>
      <c r="H1547" s="3" t="str">
        <f>CONCATENATE("64240317228")</f>
        <v>64240317228</v>
      </c>
      <c r="I1547" s="3" t="s">
        <v>25</v>
      </c>
      <c r="J1547" s="3" t="s">
        <v>26</v>
      </c>
      <c r="K1547" s="3" t="str">
        <f t="shared" si="53"/>
        <v/>
      </c>
      <c r="L1547" s="3" t="str">
        <f>CONCATENATE("11 11.1 4b")</f>
        <v>11 11.1 4b</v>
      </c>
      <c r="M1547" s="3" t="str">
        <f>CONCATENATE("MRVLRT59S27B474G")</f>
        <v>MRVLRT59S27B474G</v>
      </c>
      <c r="N1547" s="3" t="s">
        <v>1595</v>
      </c>
      <c r="O1547" s="3"/>
      <c r="P1547" s="4">
        <v>42783</v>
      </c>
      <c r="Q1547" s="3" t="s">
        <v>27</v>
      </c>
      <c r="R1547" s="3" t="s">
        <v>28</v>
      </c>
      <c r="S1547" s="3" t="s">
        <v>29</v>
      </c>
      <c r="T1547" s="5">
        <v>6781.19</v>
      </c>
      <c r="U1547" s="5">
        <v>2924.05</v>
      </c>
      <c r="V1547" s="5">
        <v>2700.27</v>
      </c>
      <c r="W1547" s="5">
        <v>1156.8699999999999</v>
      </c>
    </row>
    <row r="1548" spans="1:23" ht="60.75">
      <c r="A1548" s="3" t="s">
        <v>23</v>
      </c>
      <c r="B1548" s="3" t="s">
        <v>24</v>
      </c>
      <c r="C1548" s="3" t="s">
        <v>35</v>
      </c>
      <c r="D1548" s="3" t="s">
        <v>43</v>
      </c>
      <c r="E1548" s="3" t="s">
        <v>32</v>
      </c>
      <c r="F1548" s="3" t="s">
        <v>335</v>
      </c>
      <c r="G1548" s="3">
        <v>2016</v>
      </c>
      <c r="H1548" s="3" t="str">
        <f>CONCATENATE("64240553418")</f>
        <v>64240553418</v>
      </c>
      <c r="I1548" s="3" t="s">
        <v>25</v>
      </c>
      <c r="J1548" s="3" t="s">
        <v>26</v>
      </c>
      <c r="K1548" s="3" t="str">
        <f t="shared" si="53"/>
        <v/>
      </c>
      <c r="L1548" s="3" t="str">
        <f>CONCATENATE("11 11.1 4b")</f>
        <v>11 11.1 4b</v>
      </c>
      <c r="M1548" s="3" t="str">
        <f>CONCATENATE("GRRMRC84C03I459K")</f>
        <v>GRRMRC84C03I459K</v>
      </c>
      <c r="N1548" s="3" t="s">
        <v>1596</v>
      </c>
      <c r="O1548" s="3"/>
      <c r="P1548" s="4">
        <v>42783</v>
      </c>
      <c r="Q1548" s="3" t="s">
        <v>27</v>
      </c>
      <c r="R1548" s="3" t="s">
        <v>28</v>
      </c>
      <c r="S1548" s="3" t="s">
        <v>29</v>
      </c>
      <c r="T1548" s="5">
        <v>2559.4699999999998</v>
      </c>
      <c r="U1548" s="5">
        <v>1103.6400000000001</v>
      </c>
      <c r="V1548" s="5">
        <v>1019.18</v>
      </c>
      <c r="W1548" s="3">
        <v>436.65</v>
      </c>
    </row>
    <row r="1549" spans="1:23" ht="36.75">
      <c r="A1549" s="3" t="s">
        <v>23</v>
      </c>
      <c r="B1549" s="3" t="s">
        <v>24</v>
      </c>
      <c r="C1549" s="3" t="s">
        <v>35</v>
      </c>
      <c r="D1549" s="3" t="s">
        <v>36</v>
      </c>
      <c r="E1549" s="3" t="s">
        <v>34</v>
      </c>
      <c r="F1549" s="3" t="s">
        <v>273</v>
      </c>
      <c r="G1549" s="3">
        <v>2016</v>
      </c>
      <c r="H1549" s="3" t="str">
        <f>CONCATENATE("64240254298")</f>
        <v>64240254298</v>
      </c>
      <c r="I1549" s="3" t="s">
        <v>25</v>
      </c>
      <c r="J1549" s="3" t="s">
        <v>26</v>
      </c>
      <c r="K1549" s="3" t="str">
        <f t="shared" si="53"/>
        <v/>
      </c>
      <c r="L1549" s="3" t="str">
        <f t="shared" ref="L1549:L1555" si="54">CONCATENATE("11 11.2 4b")</f>
        <v>11 11.2 4b</v>
      </c>
      <c r="M1549" s="3" t="str">
        <f>CONCATENATE("00700420441")</f>
        <v>00700420441</v>
      </c>
      <c r="N1549" s="3" t="s">
        <v>1597</v>
      </c>
      <c r="O1549" s="3"/>
      <c r="P1549" s="4">
        <v>42783</v>
      </c>
      <c r="Q1549" s="3" t="s">
        <v>27</v>
      </c>
      <c r="R1549" s="3" t="s">
        <v>28</v>
      </c>
      <c r="S1549" s="3" t="s">
        <v>29</v>
      </c>
      <c r="T1549" s="5">
        <v>4407.55</v>
      </c>
      <c r="U1549" s="5">
        <v>1900.54</v>
      </c>
      <c r="V1549" s="5">
        <v>1755.09</v>
      </c>
      <c r="W1549" s="3">
        <v>751.92</v>
      </c>
    </row>
    <row r="1550" spans="1:23" ht="60.75">
      <c r="A1550" s="3" t="s">
        <v>23</v>
      </c>
      <c r="B1550" s="3" t="s">
        <v>24</v>
      </c>
      <c r="C1550" s="3" t="s">
        <v>35</v>
      </c>
      <c r="D1550" s="3" t="s">
        <v>36</v>
      </c>
      <c r="E1550" s="3" t="s">
        <v>30</v>
      </c>
      <c r="F1550" s="3" t="s">
        <v>53</v>
      </c>
      <c r="G1550" s="3">
        <v>2016</v>
      </c>
      <c r="H1550" s="3" t="str">
        <f>CONCATENATE("64240692778")</f>
        <v>64240692778</v>
      </c>
      <c r="I1550" s="3" t="s">
        <v>25</v>
      </c>
      <c r="J1550" s="3" t="s">
        <v>26</v>
      </c>
      <c r="K1550" s="3" t="str">
        <f t="shared" si="53"/>
        <v/>
      </c>
      <c r="L1550" s="3" t="str">
        <f t="shared" si="54"/>
        <v>11 11.2 4b</v>
      </c>
      <c r="M1550" s="3" t="str">
        <f>CONCATENATE("LNCGTN52C29D096W")</f>
        <v>LNCGTN52C29D096W</v>
      </c>
      <c r="N1550" s="3" t="s">
        <v>1598</v>
      </c>
      <c r="O1550" s="3"/>
      <c r="P1550" s="4">
        <v>42783</v>
      </c>
      <c r="Q1550" s="3" t="s">
        <v>27</v>
      </c>
      <c r="R1550" s="3" t="s">
        <v>28</v>
      </c>
      <c r="S1550" s="3" t="s">
        <v>29</v>
      </c>
      <c r="T1550" s="5">
        <v>15570.9</v>
      </c>
      <c r="U1550" s="5">
        <v>6714.17</v>
      </c>
      <c r="V1550" s="5">
        <v>6200.33</v>
      </c>
      <c r="W1550" s="5">
        <v>2656.4</v>
      </c>
    </row>
    <row r="1551" spans="1:23" ht="60.75">
      <c r="A1551" s="3" t="s">
        <v>23</v>
      </c>
      <c r="B1551" s="3" t="s">
        <v>24</v>
      </c>
      <c r="C1551" s="3" t="s">
        <v>35</v>
      </c>
      <c r="D1551" s="3" t="s">
        <v>43</v>
      </c>
      <c r="E1551" s="3" t="s">
        <v>30</v>
      </c>
      <c r="F1551" s="3" t="s">
        <v>104</v>
      </c>
      <c r="G1551" s="3">
        <v>2016</v>
      </c>
      <c r="H1551" s="3" t="str">
        <f>CONCATENATE("64240246344")</f>
        <v>64240246344</v>
      </c>
      <c r="I1551" s="3" t="s">
        <v>25</v>
      </c>
      <c r="J1551" s="3" t="s">
        <v>26</v>
      </c>
      <c r="K1551" s="3" t="str">
        <f t="shared" si="53"/>
        <v/>
      </c>
      <c r="L1551" s="3" t="str">
        <f t="shared" si="54"/>
        <v>11 11.2 4b</v>
      </c>
      <c r="M1551" s="3" t="str">
        <f>CONCATENATE("MRABRN65T46L500G")</f>
        <v>MRABRN65T46L500G</v>
      </c>
      <c r="N1551" s="3" t="s">
        <v>1599</v>
      </c>
      <c r="O1551" s="3"/>
      <c r="P1551" s="4">
        <v>42783</v>
      </c>
      <c r="Q1551" s="3" t="s">
        <v>27</v>
      </c>
      <c r="R1551" s="3" t="s">
        <v>28</v>
      </c>
      <c r="S1551" s="3" t="s">
        <v>29</v>
      </c>
      <c r="T1551" s="5">
        <v>2634.53</v>
      </c>
      <c r="U1551" s="5">
        <v>1136.01</v>
      </c>
      <c r="V1551" s="5">
        <v>1049.07</v>
      </c>
      <c r="W1551" s="3">
        <v>449.45</v>
      </c>
    </row>
    <row r="1552" spans="1:23" ht="60.75">
      <c r="A1552" s="3" t="s">
        <v>23</v>
      </c>
      <c r="B1552" s="3" t="s">
        <v>24</v>
      </c>
      <c r="C1552" s="3" t="s">
        <v>35</v>
      </c>
      <c r="D1552" s="3" t="s">
        <v>43</v>
      </c>
      <c r="E1552" s="3" t="s">
        <v>32</v>
      </c>
      <c r="F1552" s="3" t="s">
        <v>78</v>
      </c>
      <c r="G1552" s="3">
        <v>2016</v>
      </c>
      <c r="H1552" s="3" t="str">
        <f>CONCATENATE("64240873592")</f>
        <v>64240873592</v>
      </c>
      <c r="I1552" s="3" t="s">
        <v>25</v>
      </c>
      <c r="J1552" s="3" t="s">
        <v>26</v>
      </c>
      <c r="K1552" s="3" t="str">
        <f t="shared" si="53"/>
        <v/>
      </c>
      <c r="L1552" s="3" t="str">
        <f t="shared" si="54"/>
        <v>11 11.2 4b</v>
      </c>
      <c r="M1552" s="3" t="str">
        <f>CONCATENATE("FDDSFN80R29L500M")</f>
        <v>FDDSFN80R29L500M</v>
      </c>
      <c r="N1552" s="3" t="s">
        <v>1600</v>
      </c>
      <c r="O1552" s="3"/>
      <c r="P1552" s="4">
        <v>42783</v>
      </c>
      <c r="Q1552" s="3" t="s">
        <v>27</v>
      </c>
      <c r="R1552" s="3" t="s">
        <v>28</v>
      </c>
      <c r="S1552" s="3" t="s">
        <v>29</v>
      </c>
      <c r="T1552" s="5">
        <v>8743.59</v>
      </c>
      <c r="U1552" s="5">
        <v>3770.24</v>
      </c>
      <c r="V1552" s="5">
        <v>3481.7</v>
      </c>
      <c r="W1552" s="5">
        <v>1491.65</v>
      </c>
    </row>
    <row r="1553" spans="1:23" ht="60.75">
      <c r="A1553" s="3" t="s">
        <v>23</v>
      </c>
      <c r="B1553" s="3" t="s">
        <v>24</v>
      </c>
      <c r="C1553" s="3" t="s">
        <v>35</v>
      </c>
      <c r="D1553" s="3" t="s">
        <v>43</v>
      </c>
      <c r="E1553" s="3" t="s">
        <v>30</v>
      </c>
      <c r="F1553" s="3" t="s">
        <v>109</v>
      </c>
      <c r="G1553" s="3">
        <v>2016</v>
      </c>
      <c r="H1553" s="3" t="str">
        <f>CONCATENATE("64240720926")</f>
        <v>64240720926</v>
      </c>
      <c r="I1553" s="3" t="s">
        <v>25</v>
      </c>
      <c r="J1553" s="3" t="s">
        <v>26</v>
      </c>
      <c r="K1553" s="3" t="str">
        <f t="shared" si="53"/>
        <v/>
      </c>
      <c r="L1553" s="3" t="str">
        <f t="shared" si="54"/>
        <v>11 11.2 4b</v>
      </c>
      <c r="M1553" s="3" t="str">
        <f>CONCATENATE("LGINTL55S10G453W")</f>
        <v>LGINTL55S10G453W</v>
      </c>
      <c r="N1553" s="3" t="s">
        <v>1601</v>
      </c>
      <c r="O1553" s="3"/>
      <c r="P1553" s="4">
        <v>42783</v>
      </c>
      <c r="Q1553" s="3" t="s">
        <v>27</v>
      </c>
      <c r="R1553" s="3" t="s">
        <v>28</v>
      </c>
      <c r="S1553" s="3" t="s">
        <v>29</v>
      </c>
      <c r="T1553" s="5">
        <v>9433.85</v>
      </c>
      <c r="U1553" s="5">
        <v>4067.88</v>
      </c>
      <c r="V1553" s="5">
        <v>3756.56</v>
      </c>
      <c r="W1553" s="5">
        <v>1609.41</v>
      </c>
    </row>
    <row r="1554" spans="1:23" ht="72.75">
      <c r="A1554" s="3" t="s">
        <v>23</v>
      </c>
      <c r="B1554" s="3" t="s">
        <v>24</v>
      </c>
      <c r="C1554" s="3" t="s">
        <v>35</v>
      </c>
      <c r="D1554" s="3" t="s">
        <v>43</v>
      </c>
      <c r="E1554" s="3" t="s">
        <v>32</v>
      </c>
      <c r="F1554" s="3" t="s">
        <v>148</v>
      </c>
      <c r="G1554" s="3">
        <v>2016</v>
      </c>
      <c r="H1554" s="3" t="str">
        <f>CONCATENATE("64240664256")</f>
        <v>64240664256</v>
      </c>
      <c r="I1554" s="3" t="s">
        <v>25</v>
      </c>
      <c r="J1554" s="3" t="s">
        <v>26</v>
      </c>
      <c r="K1554" s="3" t="str">
        <f t="shared" si="53"/>
        <v/>
      </c>
      <c r="L1554" s="3" t="str">
        <f t="shared" si="54"/>
        <v>11 11.2 4b</v>
      </c>
      <c r="M1554" s="3" t="str">
        <f>CONCATENATE("MLTNMD73C47G479K")</f>
        <v>MLTNMD73C47G479K</v>
      </c>
      <c r="N1554" s="3" t="s">
        <v>1602</v>
      </c>
      <c r="O1554" s="3"/>
      <c r="P1554" s="4">
        <v>42783</v>
      </c>
      <c r="Q1554" s="3" t="s">
        <v>27</v>
      </c>
      <c r="R1554" s="3" t="s">
        <v>28</v>
      </c>
      <c r="S1554" s="3" t="s">
        <v>29</v>
      </c>
      <c r="T1554" s="5">
        <v>1171.33</v>
      </c>
      <c r="U1554" s="3">
        <v>505.08</v>
      </c>
      <c r="V1554" s="3">
        <v>466.42</v>
      </c>
      <c r="W1554" s="3">
        <v>199.83</v>
      </c>
    </row>
    <row r="1555" spans="1:23" ht="60.75">
      <c r="A1555" s="3" t="s">
        <v>23</v>
      </c>
      <c r="B1555" s="3" t="s">
        <v>24</v>
      </c>
      <c r="C1555" s="3" t="s">
        <v>35</v>
      </c>
      <c r="D1555" s="3" t="s">
        <v>43</v>
      </c>
      <c r="E1555" s="3" t="s">
        <v>30</v>
      </c>
      <c r="F1555" s="3" t="s">
        <v>131</v>
      </c>
      <c r="G1555" s="3">
        <v>2016</v>
      </c>
      <c r="H1555" s="3" t="str">
        <f>CONCATENATE("64240765269")</f>
        <v>64240765269</v>
      </c>
      <c r="I1555" s="3" t="s">
        <v>25</v>
      </c>
      <c r="J1555" s="3" t="s">
        <v>26</v>
      </c>
      <c r="K1555" s="3" t="str">
        <f t="shared" si="53"/>
        <v/>
      </c>
      <c r="L1555" s="3" t="str">
        <f t="shared" si="54"/>
        <v>11 11.2 4b</v>
      </c>
      <c r="M1555" s="3" t="str">
        <f>CONCATENATE("FTTPFR61P28G479S")</f>
        <v>FTTPFR61P28G479S</v>
      </c>
      <c r="N1555" s="3" t="s">
        <v>1603</v>
      </c>
      <c r="O1555" s="3"/>
      <c r="P1555" s="4">
        <v>42783</v>
      </c>
      <c r="Q1555" s="3" t="s">
        <v>27</v>
      </c>
      <c r="R1555" s="3" t="s">
        <v>28</v>
      </c>
      <c r="S1555" s="3" t="s">
        <v>29</v>
      </c>
      <c r="T1555" s="5">
        <v>3742.12</v>
      </c>
      <c r="U1555" s="5">
        <v>1613.6</v>
      </c>
      <c r="V1555" s="5">
        <v>1490.11</v>
      </c>
      <c r="W1555" s="3">
        <v>638.41</v>
      </c>
    </row>
    <row r="1556" spans="1:23" ht="60.75">
      <c r="A1556" s="3" t="s">
        <v>23</v>
      </c>
      <c r="B1556" s="3" t="s">
        <v>24</v>
      </c>
      <c r="C1556" s="3" t="s">
        <v>35</v>
      </c>
      <c r="D1556" s="3" t="s">
        <v>39</v>
      </c>
      <c r="E1556" s="3" t="s">
        <v>30</v>
      </c>
      <c r="F1556" s="3" t="s">
        <v>533</v>
      </c>
      <c r="G1556" s="3">
        <v>2016</v>
      </c>
      <c r="H1556" s="3" t="str">
        <f>CONCATENATE("64240423794")</f>
        <v>64240423794</v>
      </c>
      <c r="I1556" s="3" t="s">
        <v>25</v>
      </c>
      <c r="J1556" s="3" t="s">
        <v>26</v>
      </c>
      <c r="K1556" s="3" t="str">
        <f t="shared" si="53"/>
        <v/>
      </c>
      <c r="L1556" s="3" t="str">
        <f>CONCATENATE("11 11.1 4b")</f>
        <v>11 11.1 4b</v>
      </c>
      <c r="M1556" s="3" t="str">
        <f>CONCATENATE("TTTGNN61H01I461M")</f>
        <v>TTTGNN61H01I461M</v>
      </c>
      <c r="N1556" s="3" t="s">
        <v>1604</v>
      </c>
      <c r="O1556" s="3"/>
      <c r="P1556" s="4">
        <v>42783</v>
      </c>
      <c r="Q1556" s="3" t="s">
        <v>27</v>
      </c>
      <c r="R1556" s="3" t="s">
        <v>28</v>
      </c>
      <c r="S1556" s="3" t="s">
        <v>29</v>
      </c>
      <c r="T1556" s="5">
        <v>3404.15</v>
      </c>
      <c r="U1556" s="5">
        <v>1467.87</v>
      </c>
      <c r="V1556" s="5">
        <v>1355.53</v>
      </c>
      <c r="W1556" s="3">
        <v>580.75</v>
      </c>
    </row>
    <row r="1557" spans="1:23" ht="60.75">
      <c r="A1557" s="3" t="s">
        <v>23</v>
      </c>
      <c r="B1557" s="3" t="s">
        <v>24</v>
      </c>
      <c r="C1557" s="3" t="s">
        <v>35</v>
      </c>
      <c r="D1557" s="3" t="s">
        <v>43</v>
      </c>
      <c r="E1557" s="3" t="s">
        <v>32</v>
      </c>
      <c r="F1557" s="3" t="s">
        <v>335</v>
      </c>
      <c r="G1557" s="3">
        <v>2016</v>
      </c>
      <c r="H1557" s="3" t="str">
        <f>CONCATENATE("64240683884")</f>
        <v>64240683884</v>
      </c>
      <c r="I1557" s="3" t="s">
        <v>25</v>
      </c>
      <c r="J1557" s="3" t="s">
        <v>26</v>
      </c>
      <c r="K1557" s="3" t="str">
        <f t="shared" si="53"/>
        <v/>
      </c>
      <c r="L1557" s="3" t="str">
        <f>CONCATENATE("11 11.1 4b")</f>
        <v>11 11.1 4b</v>
      </c>
      <c r="M1557" s="3" t="str">
        <f>CONCATENATE("CVLLRT80P15C933H")</f>
        <v>CVLLRT80P15C933H</v>
      </c>
      <c r="N1557" s="3" t="s">
        <v>1605</v>
      </c>
      <c r="O1557" s="3"/>
      <c r="P1557" s="4">
        <v>42783</v>
      </c>
      <c r="Q1557" s="3" t="s">
        <v>27</v>
      </c>
      <c r="R1557" s="3" t="s">
        <v>28</v>
      </c>
      <c r="S1557" s="3" t="s">
        <v>29</v>
      </c>
      <c r="T1557" s="5">
        <v>1309.8699999999999</v>
      </c>
      <c r="U1557" s="3">
        <v>564.82000000000005</v>
      </c>
      <c r="V1557" s="3">
        <v>521.59</v>
      </c>
      <c r="W1557" s="3">
        <v>223.46</v>
      </c>
    </row>
    <row r="1558" spans="1:23" ht="60.75">
      <c r="A1558" s="3" t="s">
        <v>23</v>
      </c>
      <c r="B1558" s="3" t="s">
        <v>24</v>
      </c>
      <c r="C1558" s="3" t="s">
        <v>35</v>
      </c>
      <c r="D1558" s="3" t="s">
        <v>36</v>
      </c>
      <c r="E1558" s="3" t="s">
        <v>30</v>
      </c>
      <c r="F1558" s="3" t="s">
        <v>86</v>
      </c>
      <c r="G1558" s="3">
        <v>2016</v>
      </c>
      <c r="H1558" s="3" t="str">
        <f>CONCATENATE("64240666194")</f>
        <v>64240666194</v>
      </c>
      <c r="I1558" s="3" t="s">
        <v>25</v>
      </c>
      <c r="J1558" s="3" t="s">
        <v>26</v>
      </c>
      <c r="K1558" s="3" t="str">
        <f t="shared" si="53"/>
        <v/>
      </c>
      <c r="L1558" s="3" t="str">
        <f>CONCATENATE("11 11.2 4b")</f>
        <v>11 11.2 4b</v>
      </c>
      <c r="M1558" s="3" t="str">
        <f>CONCATENATE("MCHRLL62A43C877N")</f>
        <v>MCHRLL62A43C877N</v>
      </c>
      <c r="N1558" s="3" t="s">
        <v>1606</v>
      </c>
      <c r="O1558" s="3"/>
      <c r="P1558" s="4">
        <v>42783</v>
      </c>
      <c r="Q1558" s="3" t="s">
        <v>27</v>
      </c>
      <c r="R1558" s="3" t="s">
        <v>28</v>
      </c>
      <c r="S1558" s="3" t="s">
        <v>29</v>
      </c>
      <c r="T1558" s="5">
        <v>1515.59</v>
      </c>
      <c r="U1558" s="3">
        <v>653.52</v>
      </c>
      <c r="V1558" s="3">
        <v>603.51</v>
      </c>
      <c r="W1558" s="3">
        <v>258.56</v>
      </c>
    </row>
    <row r="1559" spans="1:23" ht="60.75">
      <c r="A1559" s="3" t="s">
        <v>23</v>
      </c>
      <c r="B1559" s="3" t="s">
        <v>24</v>
      </c>
      <c r="C1559" s="3" t="s">
        <v>35</v>
      </c>
      <c r="D1559" s="3" t="s">
        <v>39</v>
      </c>
      <c r="E1559" s="3" t="s">
        <v>32</v>
      </c>
      <c r="F1559" s="3" t="s">
        <v>119</v>
      </c>
      <c r="G1559" s="3">
        <v>2016</v>
      </c>
      <c r="H1559" s="3" t="str">
        <f>CONCATENATE("64210827115")</f>
        <v>64210827115</v>
      </c>
      <c r="I1559" s="3" t="s">
        <v>25</v>
      </c>
      <c r="J1559" s="3" t="s">
        <v>26</v>
      </c>
      <c r="K1559" s="3" t="str">
        <f t="shared" si="53"/>
        <v/>
      </c>
      <c r="L1559" s="3" t="str">
        <f>CONCATENATE("13 13.1 4a")</f>
        <v>13 13.1 4a</v>
      </c>
      <c r="M1559" s="3" t="str">
        <f>CONCATENATE("BSSGDI83R56E388J")</f>
        <v>BSSGDI83R56E388J</v>
      </c>
      <c r="N1559" s="3" t="s">
        <v>1607</v>
      </c>
      <c r="O1559" s="3"/>
      <c r="P1559" s="4">
        <v>42783</v>
      </c>
      <c r="Q1559" s="3" t="s">
        <v>27</v>
      </c>
      <c r="R1559" s="3" t="s">
        <v>28</v>
      </c>
      <c r="S1559" s="3" t="s">
        <v>29</v>
      </c>
      <c r="T1559" s="5">
        <v>4590</v>
      </c>
      <c r="U1559" s="5">
        <v>1979.21</v>
      </c>
      <c r="V1559" s="5">
        <v>1827.74</v>
      </c>
      <c r="W1559" s="3">
        <v>783.05</v>
      </c>
    </row>
    <row r="1560" spans="1:23" ht="60.75">
      <c r="A1560" s="3" t="s">
        <v>23</v>
      </c>
      <c r="B1560" s="3" t="s">
        <v>24</v>
      </c>
      <c r="C1560" s="3" t="s">
        <v>35</v>
      </c>
      <c r="D1560" s="3" t="s">
        <v>43</v>
      </c>
      <c r="E1560" s="3" t="s">
        <v>30</v>
      </c>
      <c r="F1560" s="3" t="s">
        <v>113</v>
      </c>
      <c r="G1560" s="3">
        <v>2016</v>
      </c>
      <c r="H1560" s="3" t="str">
        <f>CONCATENATE("64240780136")</f>
        <v>64240780136</v>
      </c>
      <c r="I1560" s="3" t="s">
        <v>25</v>
      </c>
      <c r="J1560" s="3" t="s">
        <v>26</v>
      </c>
      <c r="K1560" s="3" t="str">
        <f t="shared" si="53"/>
        <v/>
      </c>
      <c r="L1560" s="3" t="str">
        <f>CONCATENATE("11 11.2 4b")</f>
        <v>11 11.2 4b</v>
      </c>
      <c r="M1560" s="3" t="str">
        <f>CONCATENATE("RSSRRT70T04B352K")</f>
        <v>RSSRRT70T04B352K</v>
      </c>
      <c r="N1560" s="3" t="s">
        <v>727</v>
      </c>
      <c r="O1560" s="3"/>
      <c r="P1560" s="4">
        <v>42783</v>
      </c>
      <c r="Q1560" s="3" t="s">
        <v>27</v>
      </c>
      <c r="R1560" s="3" t="s">
        <v>28</v>
      </c>
      <c r="S1560" s="3" t="s">
        <v>29</v>
      </c>
      <c r="T1560" s="5">
        <v>2851.55</v>
      </c>
      <c r="U1560" s="5">
        <v>1229.5899999999999</v>
      </c>
      <c r="V1560" s="5">
        <v>1135.49</v>
      </c>
      <c r="W1560" s="3">
        <v>486.47</v>
      </c>
    </row>
    <row r="1561" spans="1:23" ht="60.75">
      <c r="A1561" s="3" t="s">
        <v>23</v>
      </c>
      <c r="B1561" s="3" t="s">
        <v>24</v>
      </c>
      <c r="C1561" s="3" t="s">
        <v>35</v>
      </c>
      <c r="D1561" s="3" t="s">
        <v>43</v>
      </c>
      <c r="E1561" s="3" t="s">
        <v>32</v>
      </c>
      <c r="F1561" s="3" t="s">
        <v>78</v>
      </c>
      <c r="G1561" s="3">
        <v>2016</v>
      </c>
      <c r="H1561" s="3" t="str">
        <f>CONCATENATE("64240692109")</f>
        <v>64240692109</v>
      </c>
      <c r="I1561" s="3" t="s">
        <v>25</v>
      </c>
      <c r="J1561" s="3" t="s">
        <v>26</v>
      </c>
      <c r="K1561" s="3" t="str">
        <f t="shared" si="53"/>
        <v/>
      </c>
      <c r="L1561" s="3" t="str">
        <f>CONCATENATE("11 11.2 4b")</f>
        <v>11 11.2 4b</v>
      </c>
      <c r="M1561" s="3" t="str">
        <f>CONCATENATE("PRSFNC41E03L500G")</f>
        <v>PRSFNC41E03L500G</v>
      </c>
      <c r="N1561" s="3" t="s">
        <v>1608</v>
      </c>
      <c r="O1561" s="3"/>
      <c r="P1561" s="4">
        <v>42783</v>
      </c>
      <c r="Q1561" s="3" t="s">
        <v>27</v>
      </c>
      <c r="R1561" s="3" t="s">
        <v>28</v>
      </c>
      <c r="S1561" s="3" t="s">
        <v>29</v>
      </c>
      <c r="T1561" s="5">
        <v>3551.34</v>
      </c>
      <c r="U1561" s="5">
        <v>1531.34</v>
      </c>
      <c r="V1561" s="5">
        <v>1414.14</v>
      </c>
      <c r="W1561" s="3">
        <v>605.86</v>
      </c>
    </row>
    <row r="1562" spans="1:23" ht="60.75">
      <c r="A1562" s="3" t="s">
        <v>23</v>
      </c>
      <c r="B1562" s="3" t="s">
        <v>24</v>
      </c>
      <c r="C1562" s="3" t="s">
        <v>35</v>
      </c>
      <c r="D1562" s="3" t="s">
        <v>43</v>
      </c>
      <c r="E1562" s="3" t="s">
        <v>49</v>
      </c>
      <c r="F1562" s="3" t="s">
        <v>139</v>
      </c>
      <c r="G1562" s="3">
        <v>2016</v>
      </c>
      <c r="H1562" s="3" t="str">
        <f>CONCATENATE("64240475257")</f>
        <v>64240475257</v>
      </c>
      <c r="I1562" s="3" t="s">
        <v>25</v>
      </c>
      <c r="J1562" s="3" t="s">
        <v>26</v>
      </c>
      <c r="K1562" s="3" t="str">
        <f t="shared" si="53"/>
        <v/>
      </c>
      <c r="L1562" s="3" t="str">
        <f>CONCATENATE("11 11.2 4b")</f>
        <v>11 11.2 4b</v>
      </c>
      <c r="M1562" s="3" t="str">
        <f>CONCATENATE("VNNGST60B11D488F")</f>
        <v>VNNGST60B11D488F</v>
      </c>
      <c r="N1562" s="3" t="s">
        <v>1609</v>
      </c>
      <c r="O1562" s="3"/>
      <c r="P1562" s="4">
        <v>42783</v>
      </c>
      <c r="Q1562" s="3" t="s">
        <v>27</v>
      </c>
      <c r="R1562" s="3" t="s">
        <v>28</v>
      </c>
      <c r="S1562" s="3" t="s">
        <v>29</v>
      </c>
      <c r="T1562" s="5">
        <v>14169.7</v>
      </c>
      <c r="U1562" s="5">
        <v>6109.97</v>
      </c>
      <c r="V1562" s="5">
        <v>5642.37</v>
      </c>
      <c r="W1562" s="5">
        <v>2417.36</v>
      </c>
    </row>
    <row r="1563" spans="1:23" ht="72.75">
      <c r="A1563" s="3" t="s">
        <v>23</v>
      </c>
      <c r="B1563" s="3" t="s">
        <v>24</v>
      </c>
      <c r="C1563" s="3" t="s">
        <v>35</v>
      </c>
      <c r="D1563" s="3" t="s">
        <v>43</v>
      </c>
      <c r="E1563" s="3" t="s">
        <v>32</v>
      </c>
      <c r="F1563" s="3" t="s">
        <v>575</v>
      </c>
      <c r="G1563" s="3">
        <v>2016</v>
      </c>
      <c r="H1563" s="3" t="str">
        <f>CONCATENATE("64240503165")</f>
        <v>64240503165</v>
      </c>
      <c r="I1563" s="3" t="s">
        <v>25</v>
      </c>
      <c r="J1563" s="3" t="s">
        <v>26</v>
      </c>
      <c r="K1563" s="3" t="str">
        <f t="shared" si="53"/>
        <v/>
      </c>
      <c r="L1563" s="3" t="str">
        <f>CONCATENATE("11 11.1 4b")</f>
        <v>11 11.1 4b</v>
      </c>
      <c r="M1563" s="3" t="str">
        <f>CONCATENATE("RZTGCM72H15D488D")</f>
        <v>RZTGCM72H15D488D</v>
      </c>
      <c r="N1563" s="3" t="s">
        <v>1610</v>
      </c>
      <c r="O1563" s="3"/>
      <c r="P1563" s="4">
        <v>42783</v>
      </c>
      <c r="Q1563" s="3" t="s">
        <v>27</v>
      </c>
      <c r="R1563" s="3" t="s">
        <v>28</v>
      </c>
      <c r="S1563" s="3" t="s">
        <v>29</v>
      </c>
      <c r="T1563" s="5">
        <v>8189.64</v>
      </c>
      <c r="U1563" s="5">
        <v>3531.37</v>
      </c>
      <c r="V1563" s="5">
        <v>3261.11</v>
      </c>
      <c r="W1563" s="5">
        <v>1397.16</v>
      </c>
    </row>
    <row r="1564" spans="1:23" ht="36.75">
      <c r="A1564" s="3" t="s">
        <v>23</v>
      </c>
      <c r="B1564" s="3" t="s">
        <v>24</v>
      </c>
      <c r="C1564" s="3" t="s">
        <v>35</v>
      </c>
      <c r="D1564" s="3" t="s">
        <v>39</v>
      </c>
      <c r="E1564" s="3" t="s">
        <v>34</v>
      </c>
      <c r="F1564" s="3" t="s">
        <v>170</v>
      </c>
      <c r="G1564" s="3">
        <v>2016</v>
      </c>
      <c r="H1564" s="3" t="str">
        <f>CONCATENATE("64240231213")</f>
        <v>64240231213</v>
      </c>
      <c r="I1564" s="3" t="s">
        <v>25</v>
      </c>
      <c r="J1564" s="3" t="s">
        <v>26</v>
      </c>
      <c r="K1564" s="3" t="str">
        <f t="shared" si="53"/>
        <v/>
      </c>
      <c r="L1564" s="3" t="str">
        <f>CONCATENATE("11 11.2 4b")</f>
        <v>11 11.2 4b</v>
      </c>
      <c r="M1564" s="3" t="str">
        <f>CONCATENATE("00170290423")</f>
        <v>00170290423</v>
      </c>
      <c r="N1564" s="3" t="s">
        <v>1611</v>
      </c>
      <c r="O1564" s="3"/>
      <c r="P1564" s="4">
        <v>42783</v>
      </c>
      <c r="Q1564" s="3" t="s">
        <v>27</v>
      </c>
      <c r="R1564" s="3" t="s">
        <v>28</v>
      </c>
      <c r="S1564" s="3" t="s">
        <v>29</v>
      </c>
      <c r="T1564" s="5">
        <v>22674.45</v>
      </c>
      <c r="U1564" s="5">
        <v>9777.2199999999993</v>
      </c>
      <c r="V1564" s="5">
        <v>9028.9699999999993</v>
      </c>
      <c r="W1564" s="5">
        <v>3868.26</v>
      </c>
    </row>
    <row r="1565" spans="1:23" ht="36.75">
      <c r="A1565" s="3" t="s">
        <v>23</v>
      </c>
      <c r="B1565" s="3" t="s">
        <v>24</v>
      </c>
      <c r="C1565" s="3" t="s">
        <v>35</v>
      </c>
      <c r="D1565" s="3" t="s">
        <v>43</v>
      </c>
      <c r="E1565" s="3" t="s">
        <v>49</v>
      </c>
      <c r="F1565" s="3" t="s">
        <v>139</v>
      </c>
      <c r="G1565" s="3">
        <v>2016</v>
      </c>
      <c r="H1565" s="3" t="str">
        <f>CONCATENATE("64240347134")</f>
        <v>64240347134</v>
      </c>
      <c r="I1565" s="3" t="s">
        <v>25</v>
      </c>
      <c r="J1565" s="3" t="s">
        <v>26</v>
      </c>
      <c r="K1565" s="3" t="str">
        <f t="shared" si="53"/>
        <v/>
      </c>
      <c r="L1565" s="3" t="str">
        <f>CONCATENATE("11 11.2 4b")</f>
        <v>11 11.2 4b</v>
      </c>
      <c r="M1565" s="3" t="str">
        <f>CONCATENATE("02351210410")</f>
        <v>02351210410</v>
      </c>
      <c r="N1565" s="3" t="s">
        <v>1612</v>
      </c>
      <c r="O1565" s="3"/>
      <c r="P1565" s="4">
        <v>42783</v>
      </c>
      <c r="Q1565" s="3" t="s">
        <v>27</v>
      </c>
      <c r="R1565" s="3" t="s">
        <v>28</v>
      </c>
      <c r="S1565" s="3" t="s">
        <v>29</v>
      </c>
      <c r="T1565" s="5">
        <v>4506.13</v>
      </c>
      <c r="U1565" s="5">
        <v>1943.04</v>
      </c>
      <c r="V1565" s="5">
        <v>1794.34</v>
      </c>
      <c r="W1565" s="3">
        <v>768.75</v>
      </c>
    </row>
    <row r="1566" spans="1:23" ht="60.75">
      <c r="A1566" s="3" t="s">
        <v>23</v>
      </c>
      <c r="B1566" s="3" t="s">
        <v>24</v>
      </c>
      <c r="C1566" s="3" t="s">
        <v>35</v>
      </c>
      <c r="D1566" s="3" t="s">
        <v>48</v>
      </c>
      <c r="E1566" s="3" t="s">
        <v>33</v>
      </c>
      <c r="F1566" s="3" t="s">
        <v>358</v>
      </c>
      <c r="G1566" s="3">
        <v>2016</v>
      </c>
      <c r="H1566" s="3" t="str">
        <f>CONCATENATE("64240641924")</f>
        <v>64240641924</v>
      </c>
      <c r="I1566" s="3" t="s">
        <v>25</v>
      </c>
      <c r="J1566" s="3" t="s">
        <v>26</v>
      </c>
      <c r="K1566" s="3" t="str">
        <f t="shared" si="53"/>
        <v/>
      </c>
      <c r="L1566" s="3" t="str">
        <f>CONCATENATE("11 11.2 4b")</f>
        <v>11 11.2 4b</v>
      </c>
      <c r="M1566" s="3" t="str">
        <f>CONCATENATE("FBBPLA66R19B398Q")</f>
        <v>FBBPLA66R19B398Q</v>
      </c>
      <c r="N1566" s="3" t="s">
        <v>1613</v>
      </c>
      <c r="O1566" s="3"/>
      <c r="P1566" s="4">
        <v>42783</v>
      </c>
      <c r="Q1566" s="3" t="s">
        <v>27</v>
      </c>
      <c r="R1566" s="3" t="s">
        <v>28</v>
      </c>
      <c r="S1566" s="3" t="s">
        <v>29</v>
      </c>
      <c r="T1566" s="5">
        <v>26070.06</v>
      </c>
      <c r="U1566" s="5">
        <v>11241.41</v>
      </c>
      <c r="V1566" s="5">
        <v>10381.1</v>
      </c>
      <c r="W1566" s="5">
        <v>4447.55</v>
      </c>
    </row>
    <row r="1567" spans="1:23" ht="60.75">
      <c r="A1567" s="3" t="s">
        <v>23</v>
      </c>
      <c r="B1567" s="3" t="s">
        <v>24</v>
      </c>
      <c r="C1567" s="3" t="s">
        <v>35</v>
      </c>
      <c r="D1567" s="3" t="s">
        <v>36</v>
      </c>
      <c r="E1567" s="3" t="s">
        <v>30</v>
      </c>
      <c r="F1567" s="3" t="s">
        <v>157</v>
      </c>
      <c r="G1567" s="3">
        <v>2016</v>
      </c>
      <c r="H1567" s="3" t="str">
        <f>CONCATENATE("64240754875")</f>
        <v>64240754875</v>
      </c>
      <c r="I1567" s="3" t="s">
        <v>25</v>
      </c>
      <c r="J1567" s="3" t="s">
        <v>26</v>
      </c>
      <c r="K1567" s="3" t="str">
        <f t="shared" si="53"/>
        <v/>
      </c>
      <c r="L1567" s="3" t="str">
        <f>CONCATENATE("11 11.2 4b")</f>
        <v>11 11.2 4b</v>
      </c>
      <c r="M1567" s="3" t="str">
        <f>CONCATENATE("QNTRST66H69E208S")</f>
        <v>QNTRST66H69E208S</v>
      </c>
      <c r="N1567" s="3" t="s">
        <v>1614</v>
      </c>
      <c r="O1567" s="3"/>
      <c r="P1567" s="4">
        <v>42783</v>
      </c>
      <c r="Q1567" s="3" t="s">
        <v>27</v>
      </c>
      <c r="R1567" s="3" t="s">
        <v>28</v>
      </c>
      <c r="S1567" s="3" t="s">
        <v>29</v>
      </c>
      <c r="T1567" s="5">
        <v>5332.92</v>
      </c>
      <c r="U1567" s="5">
        <v>2299.56</v>
      </c>
      <c r="V1567" s="5">
        <v>2123.5700000000002</v>
      </c>
      <c r="W1567" s="3">
        <v>909.79</v>
      </c>
    </row>
    <row r="1568" spans="1:23" ht="60.75">
      <c r="A1568" s="3" t="s">
        <v>23</v>
      </c>
      <c r="B1568" s="3" t="s">
        <v>24</v>
      </c>
      <c r="C1568" s="3" t="s">
        <v>35</v>
      </c>
      <c r="D1568" s="3" t="s">
        <v>39</v>
      </c>
      <c r="E1568" s="3" t="s">
        <v>33</v>
      </c>
      <c r="F1568" s="3" t="s">
        <v>584</v>
      </c>
      <c r="G1568" s="3">
        <v>2016</v>
      </c>
      <c r="H1568" s="3" t="str">
        <f>CONCATENATE("64240603932")</f>
        <v>64240603932</v>
      </c>
      <c r="I1568" s="3" t="s">
        <v>25</v>
      </c>
      <c r="J1568" s="3" t="s">
        <v>26</v>
      </c>
      <c r="K1568" s="3" t="str">
        <f t="shared" si="53"/>
        <v/>
      </c>
      <c r="L1568" s="3" t="str">
        <f>CONCATENATE("11 11.1 4b")</f>
        <v>11 11.1 4b</v>
      </c>
      <c r="M1568" s="3" t="str">
        <f>CONCATENATE("RGGMKI94T15D451R")</f>
        <v>RGGMKI94T15D451R</v>
      </c>
      <c r="N1568" s="3" t="s">
        <v>1615</v>
      </c>
      <c r="O1568" s="3"/>
      <c r="P1568" s="4">
        <v>42783</v>
      </c>
      <c r="Q1568" s="3" t="s">
        <v>27</v>
      </c>
      <c r="R1568" s="3" t="s">
        <v>28</v>
      </c>
      <c r="S1568" s="3" t="s">
        <v>29</v>
      </c>
      <c r="T1568" s="5">
        <v>3576.91</v>
      </c>
      <c r="U1568" s="5">
        <v>1542.36</v>
      </c>
      <c r="V1568" s="5">
        <v>1424.33</v>
      </c>
      <c r="W1568" s="3">
        <v>610.22</v>
      </c>
    </row>
    <row r="1569" spans="1:23" ht="60.75">
      <c r="A1569" s="3" t="s">
        <v>23</v>
      </c>
      <c r="B1569" s="3" t="s">
        <v>24</v>
      </c>
      <c r="C1569" s="3" t="s">
        <v>35</v>
      </c>
      <c r="D1569" s="3" t="s">
        <v>43</v>
      </c>
      <c r="E1569" s="3" t="s">
        <v>42</v>
      </c>
      <c r="F1569" s="3" t="s">
        <v>42</v>
      </c>
      <c r="G1569" s="3">
        <v>2016</v>
      </c>
      <c r="H1569" s="3" t="str">
        <f>CONCATENATE("64240301818")</f>
        <v>64240301818</v>
      </c>
      <c r="I1569" s="3" t="s">
        <v>25</v>
      </c>
      <c r="J1569" s="3" t="s">
        <v>26</v>
      </c>
      <c r="K1569" s="3" t="str">
        <f t="shared" si="53"/>
        <v/>
      </c>
      <c r="L1569" s="3" t="str">
        <f>CONCATENATE("11 11.2 4b")</f>
        <v>11 11.2 4b</v>
      </c>
      <c r="M1569" s="3" t="str">
        <f>CONCATENATE("LRGNTN59B23E785T")</f>
        <v>LRGNTN59B23E785T</v>
      </c>
      <c r="N1569" s="3" t="s">
        <v>317</v>
      </c>
      <c r="O1569" s="3"/>
      <c r="P1569" s="4">
        <v>42783</v>
      </c>
      <c r="Q1569" s="3" t="s">
        <v>27</v>
      </c>
      <c r="R1569" s="3" t="s">
        <v>28</v>
      </c>
      <c r="S1569" s="3" t="s">
        <v>29</v>
      </c>
      <c r="T1569" s="5">
        <v>9366.36</v>
      </c>
      <c r="U1569" s="5">
        <v>4038.77</v>
      </c>
      <c r="V1569" s="5">
        <v>3729.68</v>
      </c>
      <c r="W1569" s="5">
        <v>1597.91</v>
      </c>
    </row>
    <row r="1570" spans="1:23" ht="60.75">
      <c r="A1570" s="3" t="s">
        <v>23</v>
      </c>
      <c r="B1570" s="3" t="s">
        <v>24</v>
      </c>
      <c r="C1570" s="3" t="s">
        <v>35</v>
      </c>
      <c r="D1570" s="3" t="s">
        <v>43</v>
      </c>
      <c r="E1570" s="3" t="s">
        <v>49</v>
      </c>
      <c r="F1570" s="3" t="s">
        <v>139</v>
      </c>
      <c r="G1570" s="3">
        <v>2016</v>
      </c>
      <c r="H1570" s="3" t="str">
        <f>CONCATENATE("64240544847")</f>
        <v>64240544847</v>
      </c>
      <c r="I1570" s="3" t="s">
        <v>25</v>
      </c>
      <c r="J1570" s="3" t="s">
        <v>26</v>
      </c>
      <c r="K1570" s="3" t="str">
        <f t="shared" si="53"/>
        <v/>
      </c>
      <c r="L1570" s="3" t="str">
        <f>CONCATENATE("11 11.1 4b")</f>
        <v>11 11.1 4b</v>
      </c>
      <c r="M1570" s="3" t="str">
        <f>CONCATENATE("BLDNDR80S18I287O")</f>
        <v>BLDNDR80S18I287O</v>
      </c>
      <c r="N1570" s="3" t="s">
        <v>1616</v>
      </c>
      <c r="O1570" s="3"/>
      <c r="P1570" s="4">
        <v>42783</v>
      </c>
      <c r="Q1570" s="3" t="s">
        <v>27</v>
      </c>
      <c r="R1570" s="3" t="s">
        <v>28</v>
      </c>
      <c r="S1570" s="3" t="s">
        <v>29</v>
      </c>
      <c r="T1570" s="3">
        <v>964.11</v>
      </c>
      <c r="U1570" s="3">
        <v>415.72</v>
      </c>
      <c r="V1570" s="3">
        <v>383.91</v>
      </c>
      <c r="W1570" s="3">
        <v>164.48</v>
      </c>
    </row>
    <row r="1571" spans="1:23" ht="72.75">
      <c r="A1571" s="3" t="s">
        <v>23</v>
      </c>
      <c r="B1571" s="3" t="s">
        <v>24</v>
      </c>
      <c r="C1571" s="3" t="s">
        <v>35</v>
      </c>
      <c r="D1571" s="3" t="s">
        <v>48</v>
      </c>
      <c r="E1571" s="3" t="s">
        <v>30</v>
      </c>
      <c r="F1571" s="3" t="s">
        <v>91</v>
      </c>
      <c r="G1571" s="3">
        <v>2016</v>
      </c>
      <c r="H1571" s="3" t="str">
        <f>CONCATENATE("64210521189")</f>
        <v>64210521189</v>
      </c>
      <c r="I1571" s="3" t="s">
        <v>25</v>
      </c>
      <c r="J1571" s="3" t="s">
        <v>26</v>
      </c>
      <c r="K1571" s="3" t="str">
        <f t="shared" si="53"/>
        <v/>
      </c>
      <c r="L1571" s="3" t="str">
        <f>CONCATENATE("13 13.1 4a")</f>
        <v>13 13.1 4a</v>
      </c>
      <c r="M1571" s="3" t="str">
        <f>CONCATENATE("MDRSRG59A03M078A")</f>
        <v>MDRSRG59A03M078A</v>
      </c>
      <c r="N1571" s="3" t="s">
        <v>1617</v>
      </c>
      <c r="O1571" s="3"/>
      <c r="P1571" s="4">
        <v>42783</v>
      </c>
      <c r="Q1571" s="3" t="s">
        <v>27</v>
      </c>
      <c r="R1571" s="3" t="s">
        <v>28</v>
      </c>
      <c r="S1571" s="3" t="s">
        <v>29</v>
      </c>
      <c r="T1571" s="5">
        <v>2642.48</v>
      </c>
      <c r="U1571" s="5">
        <v>1139.44</v>
      </c>
      <c r="V1571" s="5">
        <v>1052.24</v>
      </c>
      <c r="W1571" s="3">
        <v>450.8</v>
      </c>
    </row>
    <row r="1572" spans="1:23" ht="36.75">
      <c r="A1572" s="3" t="s">
        <v>23</v>
      </c>
      <c r="B1572" s="3" t="s">
        <v>24</v>
      </c>
      <c r="C1572" s="3" t="s">
        <v>35</v>
      </c>
      <c r="D1572" s="3" t="s">
        <v>43</v>
      </c>
      <c r="E1572" s="3" t="s">
        <v>32</v>
      </c>
      <c r="F1572" s="3" t="s">
        <v>44</v>
      </c>
      <c r="G1572" s="3">
        <v>2016</v>
      </c>
      <c r="H1572" s="3" t="str">
        <f>CONCATENATE("64240527446")</f>
        <v>64240527446</v>
      </c>
      <c r="I1572" s="3" t="s">
        <v>25</v>
      </c>
      <c r="J1572" s="3" t="s">
        <v>26</v>
      </c>
      <c r="K1572" s="3" t="str">
        <f t="shared" si="53"/>
        <v/>
      </c>
      <c r="L1572" s="3" t="str">
        <f>CONCATENATE("11 11.2 4b")</f>
        <v>11 11.2 4b</v>
      </c>
      <c r="M1572" s="3" t="str">
        <f>CONCATENATE("01387140419")</f>
        <v>01387140419</v>
      </c>
      <c r="N1572" s="3" t="s">
        <v>1618</v>
      </c>
      <c r="O1572" s="3"/>
      <c r="P1572" s="4">
        <v>42783</v>
      </c>
      <c r="Q1572" s="3" t="s">
        <v>27</v>
      </c>
      <c r="R1572" s="3" t="s">
        <v>28</v>
      </c>
      <c r="S1572" s="3" t="s">
        <v>29</v>
      </c>
      <c r="T1572" s="5">
        <v>28974.89</v>
      </c>
      <c r="U1572" s="5">
        <v>12493.97</v>
      </c>
      <c r="V1572" s="5">
        <v>11537.8</v>
      </c>
      <c r="W1572" s="5">
        <v>4943.12</v>
      </c>
    </row>
    <row r="1573" spans="1:23" ht="60.75">
      <c r="A1573" s="3" t="s">
        <v>23</v>
      </c>
      <c r="B1573" s="3" t="s">
        <v>24</v>
      </c>
      <c r="C1573" s="3" t="s">
        <v>35</v>
      </c>
      <c r="D1573" s="3" t="s">
        <v>43</v>
      </c>
      <c r="E1573" s="3" t="s">
        <v>32</v>
      </c>
      <c r="F1573" s="3" t="s">
        <v>335</v>
      </c>
      <c r="G1573" s="3">
        <v>2016</v>
      </c>
      <c r="H1573" s="3" t="str">
        <f>CONCATENATE("64240608295")</f>
        <v>64240608295</v>
      </c>
      <c r="I1573" s="3" t="s">
        <v>25</v>
      </c>
      <c r="J1573" s="3" t="s">
        <v>26</v>
      </c>
      <c r="K1573" s="3" t="str">
        <f t="shared" si="53"/>
        <v/>
      </c>
      <c r="L1573" s="3" t="str">
        <f>CONCATENATE("11 11.2 4b")</f>
        <v>11 11.2 4b</v>
      </c>
      <c r="M1573" s="3" t="str">
        <f>CONCATENATE("CLSGCR50R28F467F")</f>
        <v>CLSGCR50R28F467F</v>
      </c>
      <c r="N1573" s="3" t="s">
        <v>1619</v>
      </c>
      <c r="O1573" s="3"/>
      <c r="P1573" s="4">
        <v>42783</v>
      </c>
      <c r="Q1573" s="3" t="s">
        <v>27</v>
      </c>
      <c r="R1573" s="3" t="s">
        <v>28</v>
      </c>
      <c r="S1573" s="3" t="s">
        <v>29</v>
      </c>
      <c r="T1573" s="5">
        <v>7014.45</v>
      </c>
      <c r="U1573" s="5">
        <v>3024.63</v>
      </c>
      <c r="V1573" s="5">
        <v>2793.15</v>
      </c>
      <c r="W1573" s="5">
        <v>1196.67</v>
      </c>
    </row>
    <row r="1574" spans="1:23" ht="60.75">
      <c r="A1574" s="3" t="s">
        <v>23</v>
      </c>
      <c r="B1574" s="3" t="s">
        <v>24</v>
      </c>
      <c r="C1574" s="3" t="s">
        <v>35</v>
      </c>
      <c r="D1574" s="3" t="s">
        <v>39</v>
      </c>
      <c r="E1574" s="3" t="s">
        <v>32</v>
      </c>
      <c r="F1574" s="3" t="s">
        <v>69</v>
      </c>
      <c r="G1574" s="3">
        <v>2016</v>
      </c>
      <c r="H1574" s="3" t="str">
        <f>CONCATENATE("64240673455")</f>
        <v>64240673455</v>
      </c>
      <c r="I1574" s="3" t="s">
        <v>25</v>
      </c>
      <c r="J1574" s="3" t="s">
        <v>26</v>
      </c>
      <c r="K1574" s="3" t="str">
        <f t="shared" si="53"/>
        <v/>
      </c>
      <c r="L1574" s="3" t="str">
        <f>CONCATENATE("11 11.1 4b")</f>
        <v>11 11.1 4b</v>
      </c>
      <c r="M1574" s="3" t="str">
        <f>CONCATENATE("CVRGNT59H24I461W")</f>
        <v>CVRGNT59H24I461W</v>
      </c>
      <c r="N1574" s="3" t="s">
        <v>1620</v>
      </c>
      <c r="O1574" s="3"/>
      <c r="P1574" s="4">
        <v>42783</v>
      </c>
      <c r="Q1574" s="3" t="s">
        <v>27</v>
      </c>
      <c r="R1574" s="3" t="s">
        <v>28</v>
      </c>
      <c r="S1574" s="3" t="s">
        <v>29</v>
      </c>
      <c r="T1574" s="5">
        <v>4397.43</v>
      </c>
      <c r="U1574" s="5">
        <v>1896.17</v>
      </c>
      <c r="V1574" s="5">
        <v>1751.06</v>
      </c>
      <c r="W1574" s="3">
        <v>750.2</v>
      </c>
    </row>
    <row r="1575" spans="1:23" ht="60.75">
      <c r="A1575" s="3" t="s">
        <v>23</v>
      </c>
      <c r="B1575" s="3" t="s">
        <v>24</v>
      </c>
      <c r="C1575" s="3" t="s">
        <v>35</v>
      </c>
      <c r="D1575" s="3" t="s">
        <v>43</v>
      </c>
      <c r="E1575" s="3" t="s">
        <v>30</v>
      </c>
      <c r="F1575" s="3" t="s">
        <v>124</v>
      </c>
      <c r="G1575" s="3">
        <v>2016</v>
      </c>
      <c r="H1575" s="3" t="str">
        <f>CONCATENATE("64240747192")</f>
        <v>64240747192</v>
      </c>
      <c r="I1575" s="3" t="s">
        <v>25</v>
      </c>
      <c r="J1575" s="3" t="s">
        <v>26</v>
      </c>
      <c r="K1575" s="3" t="str">
        <f t="shared" si="53"/>
        <v/>
      </c>
      <c r="L1575" s="3" t="str">
        <f>CONCATENATE("11 11.2 4b")</f>
        <v>11 11.2 4b</v>
      </c>
      <c r="M1575" s="3" t="str">
        <f>CONCATENATE("FDZGCR45T12L498T")</f>
        <v>FDZGCR45T12L498T</v>
      </c>
      <c r="N1575" s="3" t="s">
        <v>1621</v>
      </c>
      <c r="O1575" s="3"/>
      <c r="P1575" s="4">
        <v>42783</v>
      </c>
      <c r="Q1575" s="3" t="s">
        <v>27</v>
      </c>
      <c r="R1575" s="3" t="s">
        <v>28</v>
      </c>
      <c r="S1575" s="3" t="s">
        <v>29</v>
      </c>
      <c r="T1575" s="5">
        <v>4984.17</v>
      </c>
      <c r="U1575" s="5">
        <v>2149.17</v>
      </c>
      <c r="V1575" s="5">
        <v>1984.7</v>
      </c>
      <c r="W1575" s="3">
        <v>850.3</v>
      </c>
    </row>
    <row r="1576" spans="1:23" ht="60.75">
      <c r="A1576" s="3" t="s">
        <v>23</v>
      </c>
      <c r="B1576" s="3" t="s">
        <v>24</v>
      </c>
      <c r="C1576" s="3" t="s">
        <v>35</v>
      </c>
      <c r="D1576" s="3" t="s">
        <v>43</v>
      </c>
      <c r="E1576" s="3" t="s">
        <v>32</v>
      </c>
      <c r="F1576" s="3" t="s">
        <v>78</v>
      </c>
      <c r="G1576" s="3">
        <v>2016</v>
      </c>
      <c r="H1576" s="3" t="str">
        <f>CONCATENATE("64240354148")</f>
        <v>64240354148</v>
      </c>
      <c r="I1576" s="3" t="s">
        <v>25</v>
      </c>
      <c r="J1576" s="3" t="s">
        <v>26</v>
      </c>
      <c r="K1576" s="3" t="str">
        <f t="shared" si="53"/>
        <v/>
      </c>
      <c r="L1576" s="3" t="str">
        <f>CONCATENATE("11 11.2 4b")</f>
        <v>11 11.2 4b</v>
      </c>
      <c r="M1576" s="3" t="str">
        <f>CONCATENATE("CRSRCR34C30L500O")</f>
        <v>CRSRCR34C30L500O</v>
      </c>
      <c r="N1576" s="3" t="s">
        <v>1622</v>
      </c>
      <c r="O1576" s="3"/>
      <c r="P1576" s="4">
        <v>42783</v>
      </c>
      <c r="Q1576" s="3" t="s">
        <v>27</v>
      </c>
      <c r="R1576" s="3" t="s">
        <v>28</v>
      </c>
      <c r="S1576" s="3" t="s">
        <v>29</v>
      </c>
      <c r="T1576" s="5">
        <v>1941.34</v>
      </c>
      <c r="U1576" s="3">
        <v>837.11</v>
      </c>
      <c r="V1576" s="3">
        <v>773.04</v>
      </c>
      <c r="W1576" s="3">
        <v>331.19</v>
      </c>
    </row>
    <row r="1577" spans="1:23" ht="60.75">
      <c r="A1577" s="3" t="s">
        <v>23</v>
      </c>
      <c r="B1577" s="3" t="s">
        <v>24</v>
      </c>
      <c r="C1577" s="3" t="s">
        <v>35</v>
      </c>
      <c r="D1577" s="3" t="s">
        <v>36</v>
      </c>
      <c r="E1577" s="3" t="s">
        <v>59</v>
      </c>
      <c r="F1577" s="3" t="s">
        <v>62</v>
      </c>
      <c r="G1577" s="3">
        <v>2016</v>
      </c>
      <c r="H1577" s="3" t="str">
        <f>CONCATENATE("64240293114")</f>
        <v>64240293114</v>
      </c>
      <c r="I1577" s="3" t="s">
        <v>25</v>
      </c>
      <c r="J1577" s="3" t="s">
        <v>26</v>
      </c>
      <c r="K1577" s="3" t="str">
        <f t="shared" si="53"/>
        <v/>
      </c>
      <c r="L1577" s="3" t="str">
        <f>CONCATENATE("11 11.2 4b")</f>
        <v>11 11.2 4b</v>
      </c>
      <c r="M1577" s="3" t="str">
        <f>CONCATENATE("PLALCU75L08D542R")</f>
        <v>PLALCU75L08D542R</v>
      </c>
      <c r="N1577" s="3" t="s">
        <v>1623</v>
      </c>
      <c r="O1577" s="3"/>
      <c r="P1577" s="4">
        <v>42783</v>
      </c>
      <c r="Q1577" s="3" t="s">
        <v>27</v>
      </c>
      <c r="R1577" s="3" t="s">
        <v>28</v>
      </c>
      <c r="S1577" s="3" t="s">
        <v>29</v>
      </c>
      <c r="T1577" s="5">
        <v>5040.21</v>
      </c>
      <c r="U1577" s="5">
        <v>2173.34</v>
      </c>
      <c r="V1577" s="5">
        <v>2007.01</v>
      </c>
      <c r="W1577" s="3">
        <v>859.86</v>
      </c>
    </row>
    <row r="1578" spans="1:23" ht="36.75">
      <c r="A1578" s="3" t="s">
        <v>23</v>
      </c>
      <c r="B1578" s="3" t="s">
        <v>24</v>
      </c>
      <c r="C1578" s="3" t="s">
        <v>35</v>
      </c>
      <c r="D1578" s="3" t="s">
        <v>43</v>
      </c>
      <c r="E1578" s="3" t="s">
        <v>33</v>
      </c>
      <c r="F1578" s="3" t="s">
        <v>848</v>
      </c>
      <c r="G1578" s="3">
        <v>2016</v>
      </c>
      <c r="H1578" s="3" t="str">
        <f>CONCATENATE("64211042656")</f>
        <v>64211042656</v>
      </c>
      <c r="I1578" s="3" t="s">
        <v>25</v>
      </c>
      <c r="J1578" s="3" t="s">
        <v>26</v>
      </c>
      <c r="K1578" s="3" t="str">
        <f t="shared" si="53"/>
        <v/>
      </c>
      <c r="L1578" s="3" t="str">
        <f>CONCATENATE("13 13.1 4a")</f>
        <v>13 13.1 4a</v>
      </c>
      <c r="M1578" s="3" t="str">
        <f>CONCATENATE("02229300419")</f>
        <v>02229300419</v>
      </c>
      <c r="N1578" s="3" t="s">
        <v>1624</v>
      </c>
      <c r="O1578" s="3"/>
      <c r="P1578" s="4">
        <v>42783</v>
      </c>
      <c r="Q1578" s="3" t="s">
        <v>27</v>
      </c>
      <c r="R1578" s="3" t="s">
        <v>28</v>
      </c>
      <c r="S1578" s="3" t="s">
        <v>29</v>
      </c>
      <c r="T1578" s="5">
        <v>1133.93</v>
      </c>
      <c r="U1578" s="3">
        <v>488.95</v>
      </c>
      <c r="V1578" s="3">
        <v>451.53</v>
      </c>
      <c r="W1578" s="3">
        <v>193.45</v>
      </c>
    </row>
    <row r="1579" spans="1:23" ht="60.75">
      <c r="A1579" s="3" t="s">
        <v>23</v>
      </c>
      <c r="B1579" s="3" t="s">
        <v>24</v>
      </c>
      <c r="C1579" s="3" t="s">
        <v>35</v>
      </c>
      <c r="D1579" s="3" t="s">
        <v>36</v>
      </c>
      <c r="E1579" s="3" t="s">
        <v>42</v>
      </c>
      <c r="F1579" s="3" t="s">
        <v>42</v>
      </c>
      <c r="G1579" s="3">
        <v>2016</v>
      </c>
      <c r="H1579" s="3" t="str">
        <f>CONCATENATE("64240586731")</f>
        <v>64240586731</v>
      </c>
      <c r="I1579" s="3" t="s">
        <v>25</v>
      </c>
      <c r="J1579" s="3" t="s">
        <v>26</v>
      </c>
      <c r="K1579" s="3" t="str">
        <f t="shared" si="53"/>
        <v/>
      </c>
      <c r="L1579" s="3" t="str">
        <f>CONCATENATE("11 11.2 4b")</f>
        <v>11 11.2 4b</v>
      </c>
      <c r="M1579" s="3" t="str">
        <f>CONCATENATE("NCLPRZ58P64G920N")</f>
        <v>NCLPRZ58P64G920N</v>
      </c>
      <c r="N1579" s="3" t="s">
        <v>1625</v>
      </c>
      <c r="O1579" s="3"/>
      <c r="P1579" s="4">
        <v>42783</v>
      </c>
      <c r="Q1579" s="3" t="s">
        <v>27</v>
      </c>
      <c r="R1579" s="3" t="s">
        <v>28</v>
      </c>
      <c r="S1579" s="3" t="s">
        <v>29</v>
      </c>
      <c r="T1579" s="5">
        <v>9299.0300000000007</v>
      </c>
      <c r="U1579" s="5">
        <v>4009.74</v>
      </c>
      <c r="V1579" s="5">
        <v>3702.87</v>
      </c>
      <c r="W1579" s="5">
        <v>1586.42</v>
      </c>
    </row>
    <row r="1580" spans="1:23" ht="60.75">
      <c r="A1580" s="3" t="s">
        <v>23</v>
      </c>
      <c r="B1580" s="3" t="s">
        <v>24</v>
      </c>
      <c r="C1580" s="3" t="s">
        <v>35</v>
      </c>
      <c r="D1580" s="3" t="s">
        <v>39</v>
      </c>
      <c r="E1580" s="3" t="s">
        <v>32</v>
      </c>
      <c r="F1580" s="3" t="s">
        <v>69</v>
      </c>
      <c r="G1580" s="3">
        <v>2016</v>
      </c>
      <c r="H1580" s="3" t="str">
        <f>CONCATENATE("64240742375")</f>
        <v>64240742375</v>
      </c>
      <c r="I1580" s="3" t="s">
        <v>25</v>
      </c>
      <c r="J1580" s="3" t="s">
        <v>26</v>
      </c>
      <c r="K1580" s="3" t="str">
        <f t="shared" si="53"/>
        <v/>
      </c>
      <c r="L1580" s="3" t="str">
        <f>CONCATENATE("11 11.2 4b")</f>
        <v>11 11.2 4b</v>
      </c>
      <c r="M1580" s="3" t="str">
        <f>CONCATENATE("CPPMRA40T61A366W")</f>
        <v>CPPMRA40T61A366W</v>
      </c>
      <c r="N1580" s="3" t="s">
        <v>1626</v>
      </c>
      <c r="O1580" s="3"/>
      <c r="P1580" s="4">
        <v>42783</v>
      </c>
      <c r="Q1580" s="3" t="s">
        <v>27</v>
      </c>
      <c r="R1580" s="3" t="s">
        <v>28</v>
      </c>
      <c r="S1580" s="3" t="s">
        <v>29</v>
      </c>
      <c r="T1580" s="5">
        <v>9555.14</v>
      </c>
      <c r="U1580" s="5">
        <v>4120.18</v>
      </c>
      <c r="V1580" s="5">
        <v>3804.86</v>
      </c>
      <c r="W1580" s="5">
        <v>1630.1</v>
      </c>
    </row>
    <row r="1581" spans="1:23" ht="60.75">
      <c r="A1581" s="3" t="s">
        <v>23</v>
      </c>
      <c r="B1581" s="3" t="s">
        <v>24</v>
      </c>
      <c r="C1581" s="3" t="s">
        <v>35</v>
      </c>
      <c r="D1581" s="3" t="s">
        <v>43</v>
      </c>
      <c r="E1581" s="3" t="s">
        <v>30</v>
      </c>
      <c r="F1581" s="3" t="s">
        <v>199</v>
      </c>
      <c r="G1581" s="3">
        <v>2016</v>
      </c>
      <c r="H1581" s="3" t="str">
        <f>CONCATENATE("64240484176")</f>
        <v>64240484176</v>
      </c>
      <c r="I1581" s="3" t="s">
        <v>25</v>
      </c>
      <c r="J1581" s="3" t="s">
        <v>26</v>
      </c>
      <c r="K1581" s="3" t="str">
        <f t="shared" si="53"/>
        <v/>
      </c>
      <c r="L1581" s="3" t="str">
        <f>CONCATENATE("11 11.1 4b")</f>
        <v>11 11.1 4b</v>
      </c>
      <c r="M1581" s="3" t="str">
        <f>CONCATENATE("CLMGRL65S01C357S")</f>
        <v>CLMGRL65S01C357S</v>
      </c>
      <c r="N1581" s="3" t="s">
        <v>1627</v>
      </c>
      <c r="O1581" s="3"/>
      <c r="P1581" s="4">
        <v>42783</v>
      </c>
      <c r="Q1581" s="3" t="s">
        <v>27</v>
      </c>
      <c r="R1581" s="3" t="s">
        <v>28</v>
      </c>
      <c r="S1581" s="3" t="s">
        <v>29</v>
      </c>
      <c r="T1581" s="5">
        <v>1366.64</v>
      </c>
      <c r="U1581" s="3">
        <v>589.29999999999995</v>
      </c>
      <c r="V1581" s="3">
        <v>544.20000000000005</v>
      </c>
      <c r="W1581" s="3">
        <v>233.14</v>
      </c>
    </row>
    <row r="1582" spans="1:23" ht="60.75">
      <c r="A1582" s="3" t="s">
        <v>23</v>
      </c>
      <c r="B1582" s="3" t="s">
        <v>24</v>
      </c>
      <c r="C1582" s="3" t="s">
        <v>35</v>
      </c>
      <c r="D1582" s="3" t="s">
        <v>36</v>
      </c>
      <c r="E1582" s="3" t="s">
        <v>30</v>
      </c>
      <c r="F1582" s="3" t="s">
        <v>86</v>
      </c>
      <c r="G1582" s="3">
        <v>2016</v>
      </c>
      <c r="H1582" s="3" t="str">
        <f>CONCATENATE("64240697850")</f>
        <v>64240697850</v>
      </c>
      <c r="I1582" s="3" t="s">
        <v>25</v>
      </c>
      <c r="J1582" s="3" t="s">
        <v>26</v>
      </c>
      <c r="K1582" s="3" t="str">
        <f t="shared" ref="K1582:K1645" si="55">CONCATENATE("")</f>
        <v/>
      </c>
      <c r="L1582" s="3" t="str">
        <f>CONCATENATE("11 11.2 4b")</f>
        <v>11 11.2 4b</v>
      </c>
      <c r="M1582" s="3" t="str">
        <f>CONCATENATE("PLLDNC64T08H769Q")</f>
        <v>PLLDNC64T08H769Q</v>
      </c>
      <c r="N1582" s="3" t="s">
        <v>1628</v>
      </c>
      <c r="O1582" s="3"/>
      <c r="P1582" s="4">
        <v>42783</v>
      </c>
      <c r="Q1582" s="3" t="s">
        <v>27</v>
      </c>
      <c r="R1582" s="3" t="s">
        <v>28</v>
      </c>
      <c r="S1582" s="3" t="s">
        <v>29</v>
      </c>
      <c r="T1582" s="5">
        <v>3182.23</v>
      </c>
      <c r="U1582" s="5">
        <v>1372.18</v>
      </c>
      <c r="V1582" s="5">
        <v>1267.1600000000001</v>
      </c>
      <c r="W1582" s="3">
        <v>542.89</v>
      </c>
    </row>
    <row r="1583" spans="1:23" ht="36.75">
      <c r="A1583" s="3" t="s">
        <v>23</v>
      </c>
      <c r="B1583" s="3" t="s">
        <v>24</v>
      </c>
      <c r="C1583" s="3" t="s">
        <v>35</v>
      </c>
      <c r="D1583" s="3" t="s">
        <v>48</v>
      </c>
      <c r="E1583" s="3" t="s">
        <v>34</v>
      </c>
      <c r="F1583" s="3" t="s">
        <v>141</v>
      </c>
      <c r="G1583" s="3">
        <v>2016</v>
      </c>
      <c r="H1583" s="3" t="str">
        <f>CONCATENATE("64240568291")</f>
        <v>64240568291</v>
      </c>
      <c r="I1583" s="3" t="s">
        <v>25</v>
      </c>
      <c r="J1583" s="3" t="s">
        <v>26</v>
      </c>
      <c r="K1583" s="3" t="str">
        <f t="shared" si="55"/>
        <v/>
      </c>
      <c r="L1583" s="3" t="str">
        <f>CONCATENATE("11 11.2 4b")</f>
        <v>11 11.2 4b</v>
      </c>
      <c r="M1583" s="3" t="str">
        <f>CONCATENATE("01695690436")</f>
        <v>01695690436</v>
      </c>
      <c r="N1583" s="3" t="s">
        <v>1629</v>
      </c>
      <c r="O1583" s="3"/>
      <c r="P1583" s="4">
        <v>42783</v>
      </c>
      <c r="Q1583" s="3" t="s">
        <v>27</v>
      </c>
      <c r="R1583" s="3" t="s">
        <v>28</v>
      </c>
      <c r="S1583" s="3" t="s">
        <v>29</v>
      </c>
      <c r="T1583" s="5">
        <v>4797.92</v>
      </c>
      <c r="U1583" s="5">
        <v>2068.86</v>
      </c>
      <c r="V1583" s="5">
        <v>1910.53</v>
      </c>
      <c r="W1583" s="3">
        <v>818.53</v>
      </c>
    </row>
    <row r="1584" spans="1:23" ht="36.75">
      <c r="A1584" s="3" t="s">
        <v>23</v>
      </c>
      <c r="B1584" s="3" t="s">
        <v>24</v>
      </c>
      <c r="C1584" s="3" t="s">
        <v>35</v>
      </c>
      <c r="D1584" s="3" t="s">
        <v>48</v>
      </c>
      <c r="E1584" s="3" t="s">
        <v>34</v>
      </c>
      <c r="F1584" s="3" t="s">
        <v>141</v>
      </c>
      <c r="G1584" s="3">
        <v>2016</v>
      </c>
      <c r="H1584" s="3" t="str">
        <f>CONCATENATE("64240487278")</f>
        <v>64240487278</v>
      </c>
      <c r="I1584" s="3" t="s">
        <v>25</v>
      </c>
      <c r="J1584" s="3" t="s">
        <v>26</v>
      </c>
      <c r="K1584" s="3" t="str">
        <f t="shared" si="55"/>
        <v/>
      </c>
      <c r="L1584" s="3" t="str">
        <f>CONCATENATE("11 11.1 4b")</f>
        <v>11 11.1 4b</v>
      </c>
      <c r="M1584" s="3" t="str">
        <f>CONCATENATE("01895810438")</f>
        <v>01895810438</v>
      </c>
      <c r="N1584" s="3" t="s">
        <v>1630</v>
      </c>
      <c r="O1584" s="3"/>
      <c r="P1584" s="4">
        <v>42783</v>
      </c>
      <c r="Q1584" s="3" t="s">
        <v>27</v>
      </c>
      <c r="R1584" s="3" t="s">
        <v>28</v>
      </c>
      <c r="S1584" s="3" t="s">
        <v>29</v>
      </c>
      <c r="T1584" s="5">
        <v>3100.87</v>
      </c>
      <c r="U1584" s="5">
        <v>1337.1</v>
      </c>
      <c r="V1584" s="5">
        <v>1234.77</v>
      </c>
      <c r="W1584" s="3">
        <v>529</v>
      </c>
    </row>
    <row r="1585" spans="1:23" ht="60.75">
      <c r="A1585" s="3" t="s">
        <v>23</v>
      </c>
      <c r="B1585" s="3" t="s">
        <v>24</v>
      </c>
      <c r="C1585" s="3" t="s">
        <v>35</v>
      </c>
      <c r="D1585" s="3" t="s">
        <v>39</v>
      </c>
      <c r="E1585" s="3" t="s">
        <v>30</v>
      </c>
      <c r="F1585" s="3" t="s">
        <v>40</v>
      </c>
      <c r="G1585" s="3">
        <v>2016</v>
      </c>
      <c r="H1585" s="3" t="str">
        <f>CONCATENATE("64240527313")</f>
        <v>64240527313</v>
      </c>
      <c r="I1585" s="3" t="s">
        <v>25</v>
      </c>
      <c r="J1585" s="3" t="s">
        <v>26</v>
      </c>
      <c r="K1585" s="3" t="str">
        <f t="shared" si="55"/>
        <v/>
      </c>
      <c r="L1585" s="3" t="str">
        <f>CONCATENATE("11 11.2 4b")</f>
        <v>11 11.2 4b</v>
      </c>
      <c r="M1585" s="3" t="str">
        <f>CONCATENATE("VLNLCN65M17I643E")</f>
        <v>VLNLCN65M17I643E</v>
      </c>
      <c r="N1585" s="3" t="s">
        <v>1631</v>
      </c>
      <c r="O1585" s="3"/>
      <c r="P1585" s="4">
        <v>42783</v>
      </c>
      <c r="Q1585" s="3" t="s">
        <v>27</v>
      </c>
      <c r="R1585" s="3" t="s">
        <v>28</v>
      </c>
      <c r="S1585" s="3" t="s">
        <v>29</v>
      </c>
      <c r="T1585" s="5">
        <v>6470.11</v>
      </c>
      <c r="U1585" s="5">
        <v>2789.91</v>
      </c>
      <c r="V1585" s="5">
        <v>2576.4</v>
      </c>
      <c r="W1585" s="5">
        <v>1103.8</v>
      </c>
    </row>
    <row r="1586" spans="1:23" ht="60.75">
      <c r="A1586" s="3" t="s">
        <v>23</v>
      </c>
      <c r="B1586" s="3" t="s">
        <v>24</v>
      </c>
      <c r="C1586" s="3" t="s">
        <v>35</v>
      </c>
      <c r="D1586" s="3" t="s">
        <v>36</v>
      </c>
      <c r="E1586" s="3" t="s">
        <v>32</v>
      </c>
      <c r="F1586" s="3" t="s">
        <v>208</v>
      </c>
      <c r="G1586" s="3">
        <v>2016</v>
      </c>
      <c r="H1586" s="3" t="str">
        <f>CONCATENATE("64240236204")</f>
        <v>64240236204</v>
      </c>
      <c r="I1586" s="3" t="s">
        <v>25</v>
      </c>
      <c r="J1586" s="3" t="s">
        <v>26</v>
      </c>
      <c r="K1586" s="3" t="str">
        <f t="shared" si="55"/>
        <v/>
      </c>
      <c r="L1586" s="3" t="str">
        <f>CONCATENATE("11 11.2 4b")</f>
        <v>11 11.2 4b</v>
      </c>
      <c r="M1586" s="3" t="str">
        <f>CONCATENATE("FBAMRC73S09H769L")</f>
        <v>FBAMRC73S09H769L</v>
      </c>
      <c r="N1586" s="3" t="s">
        <v>1632</v>
      </c>
      <c r="O1586" s="3"/>
      <c r="P1586" s="4">
        <v>42783</v>
      </c>
      <c r="Q1586" s="3" t="s">
        <v>27</v>
      </c>
      <c r="R1586" s="3" t="s">
        <v>28</v>
      </c>
      <c r="S1586" s="3" t="s">
        <v>29</v>
      </c>
      <c r="T1586" s="5">
        <v>6137.96</v>
      </c>
      <c r="U1586" s="5">
        <v>2646.69</v>
      </c>
      <c r="V1586" s="5">
        <v>2444.14</v>
      </c>
      <c r="W1586" s="5">
        <v>1047.1300000000001</v>
      </c>
    </row>
    <row r="1587" spans="1:23" ht="60.75">
      <c r="A1587" s="3" t="s">
        <v>23</v>
      </c>
      <c r="B1587" s="3" t="s">
        <v>24</v>
      </c>
      <c r="C1587" s="3" t="s">
        <v>35</v>
      </c>
      <c r="D1587" s="3" t="s">
        <v>43</v>
      </c>
      <c r="E1587" s="3" t="s">
        <v>30</v>
      </c>
      <c r="F1587" s="3" t="s">
        <v>76</v>
      </c>
      <c r="G1587" s="3">
        <v>2016</v>
      </c>
      <c r="H1587" s="3" t="str">
        <f>CONCATENATE("64210337693")</f>
        <v>64210337693</v>
      </c>
      <c r="I1587" s="3" t="s">
        <v>25</v>
      </c>
      <c r="J1587" s="3" t="s">
        <v>26</v>
      </c>
      <c r="K1587" s="3" t="str">
        <f t="shared" si="55"/>
        <v/>
      </c>
      <c r="L1587" s="3" t="str">
        <f>CONCATENATE("13 13.1 4a")</f>
        <v>13 13.1 4a</v>
      </c>
      <c r="M1587" s="3" t="str">
        <f>CONCATENATE("MRNFNC68C21I459Z")</f>
        <v>MRNFNC68C21I459Z</v>
      </c>
      <c r="N1587" s="3" t="s">
        <v>547</v>
      </c>
      <c r="O1587" s="3"/>
      <c r="P1587" s="4">
        <v>42783</v>
      </c>
      <c r="Q1587" s="3" t="s">
        <v>27</v>
      </c>
      <c r="R1587" s="3" t="s">
        <v>28</v>
      </c>
      <c r="S1587" s="3" t="s">
        <v>29</v>
      </c>
      <c r="T1587" s="5">
        <v>3176.44</v>
      </c>
      <c r="U1587" s="5">
        <v>1369.68</v>
      </c>
      <c r="V1587" s="5">
        <v>1264.8599999999999</v>
      </c>
      <c r="W1587" s="3">
        <v>541.9</v>
      </c>
    </row>
    <row r="1588" spans="1:23" ht="36.75">
      <c r="A1588" s="3" t="s">
        <v>23</v>
      </c>
      <c r="B1588" s="3" t="s">
        <v>24</v>
      </c>
      <c r="C1588" s="3" t="s">
        <v>35</v>
      </c>
      <c r="D1588" s="3" t="s">
        <v>43</v>
      </c>
      <c r="E1588" s="3" t="s">
        <v>30</v>
      </c>
      <c r="F1588" s="3" t="s">
        <v>104</v>
      </c>
      <c r="G1588" s="3">
        <v>2016</v>
      </c>
      <c r="H1588" s="3" t="str">
        <f>CONCATENATE("64240694329")</f>
        <v>64240694329</v>
      </c>
      <c r="I1588" s="3" t="s">
        <v>25</v>
      </c>
      <c r="J1588" s="3" t="s">
        <v>26</v>
      </c>
      <c r="K1588" s="3" t="str">
        <f t="shared" si="55"/>
        <v/>
      </c>
      <c r="L1588" s="3" t="str">
        <f>CONCATENATE("11 11.2 4b")</f>
        <v>11 11.2 4b</v>
      </c>
      <c r="M1588" s="3" t="str">
        <f>CONCATENATE("02334280415")</f>
        <v>02334280415</v>
      </c>
      <c r="N1588" s="3" t="s">
        <v>1633</v>
      </c>
      <c r="O1588" s="3"/>
      <c r="P1588" s="4">
        <v>42783</v>
      </c>
      <c r="Q1588" s="3" t="s">
        <v>27</v>
      </c>
      <c r="R1588" s="3" t="s">
        <v>28</v>
      </c>
      <c r="S1588" s="3" t="s">
        <v>29</v>
      </c>
      <c r="T1588" s="5">
        <v>24365.87</v>
      </c>
      <c r="U1588" s="5">
        <v>10506.56</v>
      </c>
      <c r="V1588" s="5">
        <v>9702.49</v>
      </c>
      <c r="W1588" s="5">
        <v>4156.82</v>
      </c>
    </row>
    <row r="1589" spans="1:23" ht="72.75">
      <c r="A1589" s="3" t="s">
        <v>23</v>
      </c>
      <c r="B1589" s="3" t="s">
        <v>24</v>
      </c>
      <c r="C1589" s="3" t="s">
        <v>35</v>
      </c>
      <c r="D1589" s="3" t="s">
        <v>48</v>
      </c>
      <c r="E1589" s="3" t="s">
        <v>30</v>
      </c>
      <c r="F1589" s="3" t="s">
        <v>91</v>
      </c>
      <c r="G1589" s="3">
        <v>2016</v>
      </c>
      <c r="H1589" s="3" t="str">
        <f>CONCATENATE("64210567083")</f>
        <v>64210567083</v>
      </c>
      <c r="I1589" s="3" t="s">
        <v>25</v>
      </c>
      <c r="J1589" s="3" t="s">
        <v>26</v>
      </c>
      <c r="K1589" s="3" t="str">
        <f t="shared" si="55"/>
        <v/>
      </c>
      <c r="L1589" s="3" t="str">
        <f>CONCATENATE("13 13.1 4a")</f>
        <v>13 13.1 4a</v>
      </c>
      <c r="M1589" s="3" t="str">
        <f>CONCATENATE("CRRLGU66B11D628H")</f>
        <v>CRRLGU66B11D628H</v>
      </c>
      <c r="N1589" s="3" t="s">
        <v>1476</v>
      </c>
      <c r="O1589" s="3"/>
      <c r="P1589" s="4">
        <v>42783</v>
      </c>
      <c r="Q1589" s="3" t="s">
        <v>27</v>
      </c>
      <c r="R1589" s="3" t="s">
        <v>28</v>
      </c>
      <c r="S1589" s="3" t="s">
        <v>29</v>
      </c>
      <c r="T1589" s="5">
        <v>4590</v>
      </c>
      <c r="U1589" s="5">
        <v>1979.21</v>
      </c>
      <c r="V1589" s="5">
        <v>1827.74</v>
      </c>
      <c r="W1589" s="3">
        <v>783.05</v>
      </c>
    </row>
    <row r="1590" spans="1:23" ht="72.75">
      <c r="A1590" s="3" t="s">
        <v>23</v>
      </c>
      <c r="B1590" s="3" t="s">
        <v>24</v>
      </c>
      <c r="C1590" s="3" t="s">
        <v>35</v>
      </c>
      <c r="D1590" s="3" t="s">
        <v>48</v>
      </c>
      <c r="E1590" s="3" t="s">
        <v>30</v>
      </c>
      <c r="F1590" s="3" t="s">
        <v>157</v>
      </c>
      <c r="G1590" s="3">
        <v>2016</v>
      </c>
      <c r="H1590" s="3" t="str">
        <f>CONCATENATE("64240761219")</f>
        <v>64240761219</v>
      </c>
      <c r="I1590" s="3" t="s">
        <v>25</v>
      </c>
      <c r="J1590" s="3" t="s">
        <v>26</v>
      </c>
      <c r="K1590" s="3" t="str">
        <f t="shared" si="55"/>
        <v/>
      </c>
      <c r="L1590" s="3" t="str">
        <f>CONCATENATE("11 11.1 4b")</f>
        <v>11 11.1 4b</v>
      </c>
      <c r="M1590" s="3" t="str">
        <f>CONCATENATE("FRRDRN55D62H876Q")</f>
        <v>FRRDRN55D62H876Q</v>
      </c>
      <c r="N1590" s="3" t="s">
        <v>1634</v>
      </c>
      <c r="O1590" s="3"/>
      <c r="P1590" s="4">
        <v>42783</v>
      </c>
      <c r="Q1590" s="3" t="s">
        <v>27</v>
      </c>
      <c r="R1590" s="3" t="s">
        <v>28</v>
      </c>
      <c r="S1590" s="3" t="s">
        <v>29</v>
      </c>
      <c r="T1590" s="5">
        <v>4688.49</v>
      </c>
      <c r="U1590" s="5">
        <v>2021.68</v>
      </c>
      <c r="V1590" s="5">
        <v>1866.96</v>
      </c>
      <c r="W1590" s="3">
        <v>799.85</v>
      </c>
    </row>
    <row r="1591" spans="1:23" ht="60.75">
      <c r="A1591" s="3" t="s">
        <v>23</v>
      </c>
      <c r="B1591" s="3" t="s">
        <v>24</v>
      </c>
      <c r="C1591" s="3" t="s">
        <v>35</v>
      </c>
      <c r="D1591" s="3" t="s">
        <v>43</v>
      </c>
      <c r="E1591" s="3" t="s">
        <v>49</v>
      </c>
      <c r="F1591" s="3" t="s">
        <v>276</v>
      </c>
      <c r="G1591" s="3">
        <v>2016</v>
      </c>
      <c r="H1591" s="3" t="str">
        <f>CONCATENATE("64210861916")</f>
        <v>64210861916</v>
      </c>
      <c r="I1591" s="3" t="s">
        <v>25</v>
      </c>
      <c r="J1591" s="3" t="s">
        <v>26</v>
      </c>
      <c r="K1591" s="3" t="str">
        <f t="shared" si="55"/>
        <v/>
      </c>
      <c r="L1591" s="3" t="str">
        <f>CONCATENATE("13 13.1 4a")</f>
        <v>13 13.1 4a</v>
      </c>
      <c r="M1591" s="3" t="str">
        <f>CONCATENATE("PSCLCU86D10D488F")</f>
        <v>PSCLCU86D10D488F</v>
      </c>
      <c r="N1591" s="3" t="s">
        <v>1313</v>
      </c>
      <c r="O1591" s="3"/>
      <c r="P1591" s="4">
        <v>42783</v>
      </c>
      <c r="Q1591" s="3" t="s">
        <v>27</v>
      </c>
      <c r="R1591" s="3" t="s">
        <v>28</v>
      </c>
      <c r="S1591" s="3" t="s">
        <v>29</v>
      </c>
      <c r="T1591" s="5">
        <v>2444.23</v>
      </c>
      <c r="U1591" s="5">
        <v>1053.95</v>
      </c>
      <c r="V1591" s="3">
        <v>973.29</v>
      </c>
      <c r="W1591" s="3">
        <v>416.99</v>
      </c>
    </row>
    <row r="1592" spans="1:23" ht="36.75">
      <c r="A1592" s="3" t="s">
        <v>23</v>
      </c>
      <c r="B1592" s="3" t="s">
        <v>24</v>
      </c>
      <c r="C1592" s="3" t="s">
        <v>35</v>
      </c>
      <c r="D1592" s="3" t="s">
        <v>43</v>
      </c>
      <c r="E1592" s="3" t="s">
        <v>30</v>
      </c>
      <c r="F1592" s="3" t="s">
        <v>76</v>
      </c>
      <c r="G1592" s="3">
        <v>2016</v>
      </c>
      <c r="H1592" s="3" t="str">
        <f>CONCATENATE("64210086571")</f>
        <v>64210086571</v>
      </c>
      <c r="I1592" s="3" t="s">
        <v>31</v>
      </c>
      <c r="J1592" s="3" t="s">
        <v>26</v>
      </c>
      <c r="K1592" s="3" t="str">
        <f t="shared" si="55"/>
        <v/>
      </c>
      <c r="L1592" s="3" t="str">
        <f>CONCATENATE("13 13.1 4a")</f>
        <v>13 13.1 4a</v>
      </c>
      <c r="M1592" s="3" t="str">
        <f>CONCATENATE("01380520419")</f>
        <v>01380520419</v>
      </c>
      <c r="N1592" s="3" t="s">
        <v>1635</v>
      </c>
      <c r="O1592" s="3"/>
      <c r="P1592" s="4">
        <v>42783</v>
      </c>
      <c r="Q1592" s="3" t="s">
        <v>27</v>
      </c>
      <c r="R1592" s="3" t="s">
        <v>28</v>
      </c>
      <c r="S1592" s="3" t="s">
        <v>29</v>
      </c>
      <c r="T1592" s="5">
        <v>2819.9</v>
      </c>
      <c r="U1592" s="5">
        <v>1215.94</v>
      </c>
      <c r="V1592" s="5">
        <v>1122.8800000000001</v>
      </c>
      <c r="W1592" s="3">
        <v>481.08</v>
      </c>
    </row>
    <row r="1593" spans="1:23" ht="72.75">
      <c r="A1593" s="3" t="s">
        <v>23</v>
      </c>
      <c r="B1593" s="3" t="s">
        <v>24</v>
      </c>
      <c r="C1593" s="3" t="s">
        <v>35</v>
      </c>
      <c r="D1593" s="3" t="s">
        <v>36</v>
      </c>
      <c r="E1593" s="3" t="s">
        <v>30</v>
      </c>
      <c r="F1593" s="3" t="s">
        <v>257</v>
      </c>
      <c r="G1593" s="3">
        <v>2016</v>
      </c>
      <c r="H1593" s="3" t="str">
        <f>CONCATENATE("64240746400")</f>
        <v>64240746400</v>
      </c>
      <c r="I1593" s="3" t="s">
        <v>25</v>
      </c>
      <c r="J1593" s="3" t="s">
        <v>26</v>
      </c>
      <c r="K1593" s="3" t="str">
        <f t="shared" si="55"/>
        <v/>
      </c>
      <c r="L1593" s="3" t="str">
        <f>CONCATENATE("10 10.1 4a")</f>
        <v>10 10.1 4a</v>
      </c>
      <c r="M1593" s="3" t="str">
        <f>CONCATENATE("MZZGNN67R10D542G")</f>
        <v>MZZGNN67R10D542G</v>
      </c>
      <c r="N1593" s="3" t="s">
        <v>1636</v>
      </c>
      <c r="O1593" s="3"/>
      <c r="P1593" s="4">
        <v>42783</v>
      </c>
      <c r="Q1593" s="3" t="s">
        <v>27</v>
      </c>
      <c r="R1593" s="3" t="s">
        <v>28</v>
      </c>
      <c r="S1593" s="3" t="s">
        <v>29</v>
      </c>
      <c r="T1593" s="5">
        <v>2338.92</v>
      </c>
      <c r="U1593" s="5">
        <v>1008.54</v>
      </c>
      <c r="V1593" s="3">
        <v>931.36</v>
      </c>
      <c r="W1593" s="3">
        <v>399.02</v>
      </c>
    </row>
    <row r="1594" spans="1:23" ht="36.75">
      <c r="A1594" s="3" t="s">
        <v>23</v>
      </c>
      <c r="B1594" s="3" t="s">
        <v>24</v>
      </c>
      <c r="C1594" s="3" t="s">
        <v>35</v>
      </c>
      <c r="D1594" s="3" t="s">
        <v>39</v>
      </c>
      <c r="E1594" s="3" t="s">
        <v>34</v>
      </c>
      <c r="F1594" s="3" t="s">
        <v>170</v>
      </c>
      <c r="G1594" s="3">
        <v>2016</v>
      </c>
      <c r="H1594" s="3" t="str">
        <f>CONCATENATE("64240737813")</f>
        <v>64240737813</v>
      </c>
      <c r="I1594" s="3" t="s">
        <v>25</v>
      </c>
      <c r="J1594" s="3" t="s">
        <v>26</v>
      </c>
      <c r="K1594" s="3" t="str">
        <f t="shared" si="55"/>
        <v/>
      </c>
      <c r="L1594" s="3" t="str">
        <f t="shared" ref="L1594:L1602" si="56">CONCATENATE("11 11.2 4b")</f>
        <v>11 11.2 4b</v>
      </c>
      <c r="M1594" s="3" t="str">
        <f>CONCATENATE("02241880422")</f>
        <v>02241880422</v>
      </c>
      <c r="N1594" s="3" t="s">
        <v>1637</v>
      </c>
      <c r="O1594" s="3"/>
      <c r="P1594" s="4">
        <v>42783</v>
      </c>
      <c r="Q1594" s="3" t="s">
        <v>27</v>
      </c>
      <c r="R1594" s="3" t="s">
        <v>28</v>
      </c>
      <c r="S1594" s="3" t="s">
        <v>29</v>
      </c>
      <c r="T1594" s="5">
        <v>5855.83</v>
      </c>
      <c r="U1594" s="5">
        <v>2525.0300000000002</v>
      </c>
      <c r="V1594" s="5">
        <v>2331.79</v>
      </c>
      <c r="W1594" s="3">
        <v>999.01</v>
      </c>
    </row>
    <row r="1595" spans="1:23" ht="36.75">
      <c r="A1595" s="3" t="s">
        <v>23</v>
      </c>
      <c r="B1595" s="3" t="s">
        <v>24</v>
      </c>
      <c r="C1595" s="3" t="s">
        <v>35</v>
      </c>
      <c r="D1595" s="3" t="s">
        <v>48</v>
      </c>
      <c r="E1595" s="3" t="s">
        <v>49</v>
      </c>
      <c r="F1595" s="3" t="s">
        <v>50</v>
      </c>
      <c r="G1595" s="3">
        <v>2016</v>
      </c>
      <c r="H1595" s="3" t="str">
        <f>CONCATENATE("64240461166")</f>
        <v>64240461166</v>
      </c>
      <c r="I1595" s="3" t="s">
        <v>31</v>
      </c>
      <c r="J1595" s="3" t="s">
        <v>26</v>
      </c>
      <c r="K1595" s="3" t="str">
        <f t="shared" si="55"/>
        <v/>
      </c>
      <c r="L1595" s="3" t="str">
        <f t="shared" si="56"/>
        <v>11 11.2 4b</v>
      </c>
      <c r="M1595" s="3" t="str">
        <f>CONCATENATE("01674230436")</f>
        <v>01674230436</v>
      </c>
      <c r="N1595" s="3" t="s">
        <v>1638</v>
      </c>
      <c r="O1595" s="3"/>
      <c r="P1595" s="4">
        <v>42783</v>
      </c>
      <c r="Q1595" s="3" t="s">
        <v>27</v>
      </c>
      <c r="R1595" s="3" t="s">
        <v>28</v>
      </c>
      <c r="S1595" s="3" t="s">
        <v>29</v>
      </c>
      <c r="T1595" s="5">
        <v>2558.16</v>
      </c>
      <c r="U1595" s="5">
        <v>1103.08</v>
      </c>
      <c r="V1595" s="5">
        <v>1018.66</v>
      </c>
      <c r="W1595" s="3">
        <v>436.42</v>
      </c>
    </row>
    <row r="1596" spans="1:23" ht="36.75">
      <c r="A1596" s="3" t="s">
        <v>23</v>
      </c>
      <c r="B1596" s="3" t="s">
        <v>24</v>
      </c>
      <c r="C1596" s="3" t="s">
        <v>35</v>
      </c>
      <c r="D1596" s="3" t="s">
        <v>39</v>
      </c>
      <c r="E1596" s="3" t="s">
        <v>30</v>
      </c>
      <c r="F1596" s="3" t="s">
        <v>84</v>
      </c>
      <c r="G1596" s="3">
        <v>2016</v>
      </c>
      <c r="H1596" s="3" t="str">
        <f>CONCATENATE("64240245288")</f>
        <v>64240245288</v>
      </c>
      <c r="I1596" s="3" t="s">
        <v>25</v>
      </c>
      <c r="J1596" s="3" t="s">
        <v>26</v>
      </c>
      <c r="K1596" s="3" t="str">
        <f t="shared" si="55"/>
        <v/>
      </c>
      <c r="L1596" s="3" t="str">
        <f t="shared" si="56"/>
        <v>11 11.2 4b</v>
      </c>
      <c r="M1596" s="3" t="str">
        <f>CONCATENATE("00406290429")</f>
        <v>00406290429</v>
      </c>
      <c r="N1596" s="3" t="s">
        <v>1639</v>
      </c>
      <c r="O1596" s="3"/>
      <c r="P1596" s="4">
        <v>42783</v>
      </c>
      <c r="Q1596" s="3" t="s">
        <v>27</v>
      </c>
      <c r="R1596" s="3" t="s">
        <v>28</v>
      </c>
      <c r="S1596" s="3" t="s">
        <v>29</v>
      </c>
      <c r="T1596" s="5">
        <v>8984.11</v>
      </c>
      <c r="U1596" s="5">
        <v>3873.95</v>
      </c>
      <c r="V1596" s="5">
        <v>3577.47</v>
      </c>
      <c r="W1596" s="5">
        <v>1532.69</v>
      </c>
    </row>
    <row r="1597" spans="1:23" ht="60.75">
      <c r="A1597" s="3" t="s">
        <v>23</v>
      </c>
      <c r="B1597" s="3" t="s">
        <v>24</v>
      </c>
      <c r="C1597" s="3" t="s">
        <v>35</v>
      </c>
      <c r="D1597" s="3" t="s">
        <v>48</v>
      </c>
      <c r="E1597" s="3" t="s">
        <v>34</v>
      </c>
      <c r="F1597" s="3" t="s">
        <v>141</v>
      </c>
      <c r="G1597" s="3">
        <v>2016</v>
      </c>
      <c r="H1597" s="3" t="str">
        <f>CONCATENATE("64240707055")</f>
        <v>64240707055</v>
      </c>
      <c r="I1597" s="3" t="s">
        <v>25</v>
      </c>
      <c r="J1597" s="3" t="s">
        <v>26</v>
      </c>
      <c r="K1597" s="3" t="str">
        <f t="shared" si="55"/>
        <v/>
      </c>
      <c r="L1597" s="3" t="str">
        <f t="shared" si="56"/>
        <v>11 11.2 4b</v>
      </c>
      <c r="M1597" s="3" t="str">
        <f>CONCATENATE("PGNRRT65R25E783W")</f>
        <v>PGNRRT65R25E783W</v>
      </c>
      <c r="N1597" s="3" t="s">
        <v>1640</v>
      </c>
      <c r="O1597" s="3"/>
      <c r="P1597" s="4">
        <v>42783</v>
      </c>
      <c r="Q1597" s="3" t="s">
        <v>27</v>
      </c>
      <c r="R1597" s="3" t="s">
        <v>28</v>
      </c>
      <c r="S1597" s="3" t="s">
        <v>29</v>
      </c>
      <c r="T1597" s="5">
        <v>5135.03</v>
      </c>
      <c r="U1597" s="5">
        <v>2214.2199999999998</v>
      </c>
      <c r="V1597" s="5">
        <v>2044.77</v>
      </c>
      <c r="W1597" s="3">
        <v>876.04</v>
      </c>
    </row>
    <row r="1598" spans="1:23" ht="36.75">
      <c r="A1598" s="3" t="s">
        <v>23</v>
      </c>
      <c r="B1598" s="3" t="s">
        <v>24</v>
      </c>
      <c r="C1598" s="3" t="s">
        <v>35</v>
      </c>
      <c r="D1598" s="3" t="s">
        <v>43</v>
      </c>
      <c r="E1598" s="3" t="s">
        <v>30</v>
      </c>
      <c r="F1598" s="3" t="s">
        <v>199</v>
      </c>
      <c r="G1598" s="3">
        <v>2016</v>
      </c>
      <c r="H1598" s="3" t="str">
        <f>CONCATENATE("64240722682")</f>
        <v>64240722682</v>
      </c>
      <c r="I1598" s="3" t="s">
        <v>25</v>
      </c>
      <c r="J1598" s="3" t="s">
        <v>26</v>
      </c>
      <c r="K1598" s="3" t="str">
        <f t="shared" si="55"/>
        <v/>
      </c>
      <c r="L1598" s="3" t="str">
        <f t="shared" si="56"/>
        <v>11 11.2 4b</v>
      </c>
      <c r="M1598" s="3" t="str">
        <f>CONCATENATE("02408390413")</f>
        <v>02408390413</v>
      </c>
      <c r="N1598" s="3" t="s">
        <v>1641</v>
      </c>
      <c r="O1598" s="3"/>
      <c r="P1598" s="4">
        <v>42783</v>
      </c>
      <c r="Q1598" s="3" t="s">
        <v>27</v>
      </c>
      <c r="R1598" s="3" t="s">
        <v>28</v>
      </c>
      <c r="S1598" s="3" t="s">
        <v>29</v>
      </c>
      <c r="T1598" s="5">
        <v>1054.47</v>
      </c>
      <c r="U1598" s="3">
        <v>454.69</v>
      </c>
      <c r="V1598" s="3">
        <v>419.89</v>
      </c>
      <c r="W1598" s="3">
        <v>179.89</v>
      </c>
    </row>
    <row r="1599" spans="1:23" ht="60.75">
      <c r="A1599" s="3" t="s">
        <v>23</v>
      </c>
      <c r="B1599" s="3" t="s">
        <v>24</v>
      </c>
      <c r="C1599" s="3" t="s">
        <v>35</v>
      </c>
      <c r="D1599" s="3" t="s">
        <v>36</v>
      </c>
      <c r="E1599" s="3" t="s">
        <v>42</v>
      </c>
      <c r="F1599" s="3" t="s">
        <v>42</v>
      </c>
      <c r="G1599" s="3">
        <v>2016</v>
      </c>
      <c r="H1599" s="3" t="str">
        <f>CONCATENATE("64240506267")</f>
        <v>64240506267</v>
      </c>
      <c r="I1599" s="3" t="s">
        <v>25</v>
      </c>
      <c r="J1599" s="3" t="s">
        <v>26</v>
      </c>
      <c r="K1599" s="3" t="str">
        <f t="shared" si="55"/>
        <v/>
      </c>
      <c r="L1599" s="3" t="str">
        <f t="shared" si="56"/>
        <v>11 11.2 4b</v>
      </c>
      <c r="M1599" s="3" t="str">
        <f>CONCATENATE("DMZBBR70L68E783M")</f>
        <v>DMZBBR70L68E783M</v>
      </c>
      <c r="N1599" s="3" t="s">
        <v>1642</v>
      </c>
      <c r="O1599" s="3"/>
      <c r="P1599" s="4">
        <v>42783</v>
      </c>
      <c r="Q1599" s="3" t="s">
        <v>27</v>
      </c>
      <c r="R1599" s="3" t="s">
        <v>28</v>
      </c>
      <c r="S1599" s="3" t="s">
        <v>29</v>
      </c>
      <c r="T1599" s="5">
        <v>1856.57</v>
      </c>
      <c r="U1599" s="3">
        <v>800.55</v>
      </c>
      <c r="V1599" s="3">
        <v>739.29</v>
      </c>
      <c r="W1599" s="3">
        <v>316.73</v>
      </c>
    </row>
    <row r="1600" spans="1:23" ht="36.75">
      <c r="A1600" s="3" t="s">
        <v>23</v>
      </c>
      <c r="B1600" s="3" t="s">
        <v>24</v>
      </c>
      <c r="C1600" s="3" t="s">
        <v>35</v>
      </c>
      <c r="D1600" s="3" t="s">
        <v>43</v>
      </c>
      <c r="E1600" s="3" t="s">
        <v>100</v>
      </c>
      <c r="F1600" s="3" t="s">
        <v>101</v>
      </c>
      <c r="G1600" s="3">
        <v>2016</v>
      </c>
      <c r="H1600" s="3" t="str">
        <f>CONCATENATE("64240580239")</f>
        <v>64240580239</v>
      </c>
      <c r="I1600" s="3" t="s">
        <v>25</v>
      </c>
      <c r="J1600" s="3" t="s">
        <v>26</v>
      </c>
      <c r="K1600" s="3" t="str">
        <f t="shared" si="55"/>
        <v/>
      </c>
      <c r="L1600" s="3" t="str">
        <f t="shared" si="56"/>
        <v>11 11.2 4b</v>
      </c>
      <c r="M1600" s="3" t="str">
        <f>CONCATENATE("02168780415")</f>
        <v>02168780415</v>
      </c>
      <c r="N1600" s="3" t="s">
        <v>102</v>
      </c>
      <c r="O1600" s="3"/>
      <c r="P1600" s="4">
        <v>42783</v>
      </c>
      <c r="Q1600" s="3" t="s">
        <v>27</v>
      </c>
      <c r="R1600" s="3" t="s">
        <v>28</v>
      </c>
      <c r="S1600" s="3" t="s">
        <v>29</v>
      </c>
      <c r="T1600" s="5">
        <v>3883.94</v>
      </c>
      <c r="U1600" s="5">
        <v>1674.75</v>
      </c>
      <c r="V1600" s="5">
        <v>1546.58</v>
      </c>
      <c r="W1600" s="3">
        <v>662.61</v>
      </c>
    </row>
    <row r="1601" spans="1:23" ht="60.75">
      <c r="A1601" s="3" t="s">
        <v>23</v>
      </c>
      <c r="B1601" s="3" t="s">
        <v>24</v>
      </c>
      <c r="C1601" s="3" t="s">
        <v>35</v>
      </c>
      <c r="D1601" s="3" t="s">
        <v>36</v>
      </c>
      <c r="E1601" s="3" t="s">
        <v>59</v>
      </c>
      <c r="F1601" s="3" t="s">
        <v>62</v>
      </c>
      <c r="G1601" s="3">
        <v>2016</v>
      </c>
      <c r="H1601" s="3" t="str">
        <f>CONCATENATE("64240322103")</f>
        <v>64240322103</v>
      </c>
      <c r="I1601" s="3" t="s">
        <v>25</v>
      </c>
      <c r="J1601" s="3" t="s">
        <v>26</v>
      </c>
      <c r="K1601" s="3" t="str">
        <f t="shared" si="55"/>
        <v/>
      </c>
      <c r="L1601" s="3" t="str">
        <f t="shared" si="56"/>
        <v>11 11.2 4b</v>
      </c>
      <c r="M1601" s="3" t="str">
        <f>CONCATENATE("FCCLGN67M49D096W")</f>
        <v>FCCLGN67M49D096W</v>
      </c>
      <c r="N1601" s="3" t="s">
        <v>1643</v>
      </c>
      <c r="O1601" s="3"/>
      <c r="P1601" s="4">
        <v>42783</v>
      </c>
      <c r="Q1601" s="3" t="s">
        <v>27</v>
      </c>
      <c r="R1601" s="3" t="s">
        <v>28</v>
      </c>
      <c r="S1601" s="3" t="s">
        <v>29</v>
      </c>
      <c r="T1601" s="5">
        <v>4670.3599999999997</v>
      </c>
      <c r="U1601" s="5">
        <v>2013.86</v>
      </c>
      <c r="V1601" s="5">
        <v>1859.74</v>
      </c>
      <c r="W1601" s="3">
        <v>796.76</v>
      </c>
    </row>
    <row r="1602" spans="1:23" ht="36.75">
      <c r="A1602" s="3" t="s">
        <v>23</v>
      </c>
      <c r="B1602" s="3" t="s">
        <v>24</v>
      </c>
      <c r="C1602" s="3" t="s">
        <v>35</v>
      </c>
      <c r="D1602" s="3" t="s">
        <v>36</v>
      </c>
      <c r="E1602" s="3" t="s">
        <v>30</v>
      </c>
      <c r="F1602" s="3" t="s">
        <v>53</v>
      </c>
      <c r="G1602" s="3">
        <v>2016</v>
      </c>
      <c r="H1602" s="3" t="str">
        <f>CONCATENATE("64240923918")</f>
        <v>64240923918</v>
      </c>
      <c r="I1602" s="3" t="s">
        <v>25</v>
      </c>
      <c r="J1602" s="3" t="s">
        <v>26</v>
      </c>
      <c r="K1602" s="3" t="str">
        <f t="shared" si="55"/>
        <v/>
      </c>
      <c r="L1602" s="3" t="str">
        <f t="shared" si="56"/>
        <v>11 11.2 4b</v>
      </c>
      <c r="M1602" s="3" t="str">
        <f>CONCATENATE("01373240447")</f>
        <v>01373240447</v>
      </c>
      <c r="N1602" s="3" t="s">
        <v>1644</v>
      </c>
      <c r="O1602" s="3"/>
      <c r="P1602" s="4">
        <v>42783</v>
      </c>
      <c r="Q1602" s="3" t="s">
        <v>27</v>
      </c>
      <c r="R1602" s="3" t="s">
        <v>28</v>
      </c>
      <c r="S1602" s="3" t="s">
        <v>29</v>
      </c>
      <c r="T1602" s="5">
        <v>2734.35</v>
      </c>
      <c r="U1602" s="5">
        <v>1179.05</v>
      </c>
      <c r="V1602" s="5">
        <v>1088.82</v>
      </c>
      <c r="W1602" s="3">
        <v>466.48</v>
      </c>
    </row>
    <row r="1603" spans="1:23" ht="60.75">
      <c r="A1603" s="3" t="s">
        <v>23</v>
      </c>
      <c r="B1603" s="3" t="s">
        <v>24</v>
      </c>
      <c r="C1603" s="3" t="s">
        <v>35</v>
      </c>
      <c r="D1603" s="3" t="s">
        <v>48</v>
      </c>
      <c r="E1603" s="3" t="s">
        <v>30</v>
      </c>
      <c r="F1603" s="3" t="s">
        <v>91</v>
      </c>
      <c r="G1603" s="3">
        <v>2016</v>
      </c>
      <c r="H1603" s="3" t="str">
        <f>CONCATENATE("64210515199")</f>
        <v>64210515199</v>
      </c>
      <c r="I1603" s="3" t="s">
        <v>25</v>
      </c>
      <c r="J1603" s="3" t="s">
        <v>26</v>
      </c>
      <c r="K1603" s="3" t="str">
        <f t="shared" si="55"/>
        <v/>
      </c>
      <c r="L1603" s="3" t="str">
        <f>CONCATENATE("13 13.1 4a")</f>
        <v>13 13.1 4a</v>
      </c>
      <c r="M1603" s="3" t="str">
        <f>CONCATENATE("FDLCRN51E71I661Y")</f>
        <v>FDLCRN51E71I661Y</v>
      </c>
      <c r="N1603" s="3" t="s">
        <v>1645</v>
      </c>
      <c r="O1603" s="3"/>
      <c r="P1603" s="4">
        <v>42783</v>
      </c>
      <c r="Q1603" s="3" t="s">
        <v>27</v>
      </c>
      <c r="R1603" s="3" t="s">
        <v>28</v>
      </c>
      <c r="S1603" s="3" t="s">
        <v>29</v>
      </c>
      <c r="T1603" s="5">
        <v>4590</v>
      </c>
      <c r="U1603" s="5">
        <v>1979.21</v>
      </c>
      <c r="V1603" s="5">
        <v>1827.74</v>
      </c>
      <c r="W1603" s="3">
        <v>783.05</v>
      </c>
    </row>
    <row r="1604" spans="1:23" ht="60.75">
      <c r="A1604" s="3" t="s">
        <v>23</v>
      </c>
      <c r="B1604" s="3" t="s">
        <v>24</v>
      </c>
      <c r="C1604" s="3" t="s">
        <v>35</v>
      </c>
      <c r="D1604" s="3" t="s">
        <v>43</v>
      </c>
      <c r="E1604" s="3" t="s">
        <v>49</v>
      </c>
      <c r="F1604" s="3" t="s">
        <v>276</v>
      </c>
      <c r="G1604" s="3">
        <v>2016</v>
      </c>
      <c r="H1604" s="3" t="str">
        <f>CONCATENATE("64240644639")</f>
        <v>64240644639</v>
      </c>
      <c r="I1604" s="3" t="s">
        <v>25</v>
      </c>
      <c r="J1604" s="3" t="s">
        <v>26</v>
      </c>
      <c r="K1604" s="3" t="str">
        <f t="shared" si="55"/>
        <v/>
      </c>
      <c r="L1604" s="3" t="str">
        <f>CONCATENATE("11 11.1 4b")</f>
        <v>11 11.1 4b</v>
      </c>
      <c r="M1604" s="3" t="str">
        <f>CONCATENATE("SRFNDR85C22D488Y")</f>
        <v>SRFNDR85C22D488Y</v>
      </c>
      <c r="N1604" s="3" t="s">
        <v>1646</v>
      </c>
      <c r="O1604" s="3"/>
      <c r="P1604" s="4">
        <v>42783</v>
      </c>
      <c r="Q1604" s="3" t="s">
        <v>27</v>
      </c>
      <c r="R1604" s="3" t="s">
        <v>28</v>
      </c>
      <c r="S1604" s="3" t="s">
        <v>29</v>
      </c>
      <c r="T1604" s="3">
        <v>671.49</v>
      </c>
      <c r="U1604" s="3">
        <v>289.55</v>
      </c>
      <c r="V1604" s="3">
        <v>267.39</v>
      </c>
      <c r="W1604" s="3">
        <v>114.55</v>
      </c>
    </row>
    <row r="1605" spans="1:23" ht="60.75">
      <c r="A1605" s="3" t="s">
        <v>23</v>
      </c>
      <c r="B1605" s="3" t="s">
        <v>24</v>
      </c>
      <c r="C1605" s="3" t="s">
        <v>35</v>
      </c>
      <c r="D1605" s="3" t="s">
        <v>43</v>
      </c>
      <c r="E1605" s="3" t="s">
        <v>49</v>
      </c>
      <c r="F1605" s="3" t="s">
        <v>139</v>
      </c>
      <c r="G1605" s="3">
        <v>2016</v>
      </c>
      <c r="H1605" s="3" t="str">
        <f>CONCATENATE("64240514220")</f>
        <v>64240514220</v>
      </c>
      <c r="I1605" s="3" t="s">
        <v>25</v>
      </c>
      <c r="J1605" s="3" t="s">
        <v>26</v>
      </c>
      <c r="K1605" s="3" t="str">
        <f t="shared" si="55"/>
        <v/>
      </c>
      <c r="L1605" s="3" t="str">
        <f>CONCATENATE("11 11.2 4b")</f>
        <v>11 11.2 4b</v>
      </c>
      <c r="M1605" s="3" t="str">
        <f>CONCATENATE("BRCTZN61P58C830P")</f>
        <v>BRCTZN61P58C830P</v>
      </c>
      <c r="N1605" s="3" t="s">
        <v>1647</v>
      </c>
      <c r="O1605" s="3"/>
      <c r="P1605" s="4">
        <v>42783</v>
      </c>
      <c r="Q1605" s="3" t="s">
        <v>27</v>
      </c>
      <c r="R1605" s="3" t="s">
        <v>28</v>
      </c>
      <c r="S1605" s="3" t="s">
        <v>29</v>
      </c>
      <c r="T1605" s="5">
        <v>11756.86</v>
      </c>
      <c r="U1605" s="5">
        <v>5069.5600000000004</v>
      </c>
      <c r="V1605" s="5">
        <v>4681.58</v>
      </c>
      <c r="W1605" s="5">
        <v>2005.72</v>
      </c>
    </row>
    <row r="1606" spans="1:23" ht="60.75">
      <c r="A1606" s="3" t="s">
        <v>23</v>
      </c>
      <c r="B1606" s="3" t="s">
        <v>24</v>
      </c>
      <c r="C1606" s="3" t="s">
        <v>35</v>
      </c>
      <c r="D1606" s="3" t="s">
        <v>39</v>
      </c>
      <c r="E1606" s="3" t="s">
        <v>30</v>
      </c>
      <c r="F1606" s="3" t="s">
        <v>533</v>
      </c>
      <c r="G1606" s="3">
        <v>2016</v>
      </c>
      <c r="H1606" s="3" t="str">
        <f>CONCATENATE("64240495016")</f>
        <v>64240495016</v>
      </c>
      <c r="I1606" s="3" t="s">
        <v>25</v>
      </c>
      <c r="J1606" s="3" t="s">
        <v>26</v>
      </c>
      <c r="K1606" s="3" t="str">
        <f t="shared" si="55"/>
        <v/>
      </c>
      <c r="L1606" s="3" t="str">
        <f>CONCATENATE("11 11.2 4b")</f>
        <v>11 11.2 4b</v>
      </c>
      <c r="M1606" s="3" t="str">
        <f>CONCATENATE("SMRLCN70D07I461V")</f>
        <v>SMRLCN70D07I461V</v>
      </c>
      <c r="N1606" s="3" t="s">
        <v>1648</v>
      </c>
      <c r="O1606" s="3"/>
      <c r="P1606" s="4">
        <v>42783</v>
      </c>
      <c r="Q1606" s="3" t="s">
        <v>27</v>
      </c>
      <c r="R1606" s="3" t="s">
        <v>28</v>
      </c>
      <c r="S1606" s="3" t="s">
        <v>29</v>
      </c>
      <c r="T1606" s="5">
        <v>1990.43</v>
      </c>
      <c r="U1606" s="3">
        <v>858.27</v>
      </c>
      <c r="V1606" s="3">
        <v>792.59</v>
      </c>
      <c r="W1606" s="3">
        <v>339.57</v>
      </c>
    </row>
    <row r="1607" spans="1:23" ht="60.75">
      <c r="A1607" s="3" t="s">
        <v>23</v>
      </c>
      <c r="B1607" s="3" t="s">
        <v>24</v>
      </c>
      <c r="C1607" s="3" t="s">
        <v>35</v>
      </c>
      <c r="D1607" s="3" t="s">
        <v>36</v>
      </c>
      <c r="E1607" s="3" t="s">
        <v>30</v>
      </c>
      <c r="F1607" s="3" t="s">
        <v>37</v>
      </c>
      <c r="G1607" s="3">
        <v>2016</v>
      </c>
      <c r="H1607" s="3" t="str">
        <f>CONCATENATE("64240372009")</f>
        <v>64240372009</v>
      </c>
      <c r="I1607" s="3" t="s">
        <v>25</v>
      </c>
      <c r="J1607" s="3" t="s">
        <v>26</v>
      </c>
      <c r="K1607" s="3" t="str">
        <f t="shared" si="55"/>
        <v/>
      </c>
      <c r="L1607" s="3" t="str">
        <f>CONCATENATE("10 10.1 4a")</f>
        <v>10 10.1 4a</v>
      </c>
      <c r="M1607" s="3" t="str">
        <f>CONCATENATE("GLLMCL65A61F415J")</f>
        <v>GLLMCL65A61F415J</v>
      </c>
      <c r="N1607" s="3" t="s">
        <v>1088</v>
      </c>
      <c r="O1607" s="3"/>
      <c r="P1607" s="4">
        <v>42783</v>
      </c>
      <c r="Q1607" s="3" t="s">
        <v>27</v>
      </c>
      <c r="R1607" s="3" t="s">
        <v>28</v>
      </c>
      <c r="S1607" s="3" t="s">
        <v>29</v>
      </c>
      <c r="T1607" s="3">
        <v>812.81</v>
      </c>
      <c r="U1607" s="3">
        <v>350.48</v>
      </c>
      <c r="V1607" s="3">
        <v>323.66000000000003</v>
      </c>
      <c r="W1607" s="3">
        <v>138.66999999999999</v>
      </c>
    </row>
    <row r="1608" spans="1:23" ht="60.75">
      <c r="A1608" s="3" t="s">
        <v>23</v>
      </c>
      <c r="B1608" s="3" t="s">
        <v>24</v>
      </c>
      <c r="C1608" s="3" t="s">
        <v>35</v>
      </c>
      <c r="D1608" s="3" t="s">
        <v>36</v>
      </c>
      <c r="E1608" s="3" t="s">
        <v>30</v>
      </c>
      <c r="F1608" s="3" t="s">
        <v>37</v>
      </c>
      <c r="G1608" s="3">
        <v>2016</v>
      </c>
      <c r="H1608" s="3" t="str">
        <f>CONCATENATE("64210618076")</f>
        <v>64210618076</v>
      </c>
      <c r="I1608" s="3" t="s">
        <v>25</v>
      </c>
      <c r="J1608" s="3" t="s">
        <v>26</v>
      </c>
      <c r="K1608" s="3" t="str">
        <f t="shared" si="55"/>
        <v/>
      </c>
      <c r="L1608" s="3" t="str">
        <f>CONCATENATE("13 13.1 4a")</f>
        <v>13 13.1 4a</v>
      </c>
      <c r="M1608" s="3" t="str">
        <f>CONCATENATE("MCAGPP37B01D691I")</f>
        <v>MCAGPP37B01D691I</v>
      </c>
      <c r="N1608" s="3" t="s">
        <v>1649</v>
      </c>
      <c r="O1608" s="3"/>
      <c r="P1608" s="4">
        <v>42783</v>
      </c>
      <c r="Q1608" s="3" t="s">
        <v>27</v>
      </c>
      <c r="R1608" s="3" t="s">
        <v>28</v>
      </c>
      <c r="S1608" s="3" t="s">
        <v>29</v>
      </c>
      <c r="T1608" s="5">
        <v>1680.56</v>
      </c>
      <c r="U1608" s="3">
        <v>724.66</v>
      </c>
      <c r="V1608" s="3">
        <v>669.2</v>
      </c>
      <c r="W1608" s="3">
        <v>286.7</v>
      </c>
    </row>
    <row r="1609" spans="1:23" ht="60.75">
      <c r="A1609" s="3" t="s">
        <v>23</v>
      </c>
      <c r="B1609" s="3" t="s">
        <v>24</v>
      </c>
      <c r="C1609" s="3" t="s">
        <v>35</v>
      </c>
      <c r="D1609" s="3" t="s">
        <v>43</v>
      </c>
      <c r="E1609" s="3" t="s">
        <v>30</v>
      </c>
      <c r="F1609" s="3" t="s">
        <v>113</v>
      </c>
      <c r="G1609" s="3">
        <v>2016</v>
      </c>
      <c r="H1609" s="3" t="str">
        <f>CONCATENATE("64211026907")</f>
        <v>64211026907</v>
      </c>
      <c r="I1609" s="3" t="s">
        <v>25</v>
      </c>
      <c r="J1609" s="3" t="s">
        <v>26</v>
      </c>
      <c r="K1609" s="3" t="str">
        <f t="shared" si="55"/>
        <v/>
      </c>
      <c r="L1609" s="3" t="str">
        <f>CONCATENATE("13 13.1 4a")</f>
        <v>13 13.1 4a</v>
      </c>
      <c r="M1609" s="3" t="str">
        <f>CONCATENATE("PCRMLT35E02B352O")</f>
        <v>PCRMLT35E02B352O</v>
      </c>
      <c r="N1609" s="3" t="s">
        <v>1650</v>
      </c>
      <c r="O1609" s="3"/>
      <c r="P1609" s="4">
        <v>42783</v>
      </c>
      <c r="Q1609" s="3" t="s">
        <v>27</v>
      </c>
      <c r="R1609" s="3" t="s">
        <v>28</v>
      </c>
      <c r="S1609" s="3" t="s">
        <v>29</v>
      </c>
      <c r="T1609" s="3">
        <v>730.24</v>
      </c>
      <c r="U1609" s="3">
        <v>314.88</v>
      </c>
      <c r="V1609" s="3">
        <v>290.77999999999997</v>
      </c>
      <c r="W1609" s="3">
        <v>124.58</v>
      </c>
    </row>
    <row r="1610" spans="1:23" ht="72.75">
      <c r="A1610" s="3" t="s">
        <v>23</v>
      </c>
      <c r="B1610" s="3" t="s">
        <v>24</v>
      </c>
      <c r="C1610" s="3" t="s">
        <v>35</v>
      </c>
      <c r="D1610" s="3" t="s">
        <v>36</v>
      </c>
      <c r="E1610" s="3" t="s">
        <v>32</v>
      </c>
      <c r="F1610" s="3" t="s">
        <v>65</v>
      </c>
      <c r="G1610" s="3">
        <v>2016</v>
      </c>
      <c r="H1610" s="3" t="str">
        <f>CONCATENATE("64240666541")</f>
        <v>64240666541</v>
      </c>
      <c r="I1610" s="3" t="s">
        <v>25</v>
      </c>
      <c r="J1610" s="3" t="s">
        <v>26</v>
      </c>
      <c r="K1610" s="3" t="str">
        <f t="shared" si="55"/>
        <v/>
      </c>
      <c r="L1610" s="3" t="str">
        <f>CONCATENATE("11 11.2 4b")</f>
        <v>11 11.2 4b</v>
      </c>
      <c r="M1610" s="3" t="str">
        <f>CONCATENATE("PPPRNR53H29D652D")</f>
        <v>PPPRNR53H29D652D</v>
      </c>
      <c r="N1610" s="3" t="s">
        <v>1651</v>
      </c>
      <c r="O1610" s="3"/>
      <c r="P1610" s="4">
        <v>42783</v>
      </c>
      <c r="Q1610" s="3" t="s">
        <v>27</v>
      </c>
      <c r="R1610" s="3" t="s">
        <v>28</v>
      </c>
      <c r="S1610" s="3" t="s">
        <v>29</v>
      </c>
      <c r="T1610" s="3">
        <v>934.25</v>
      </c>
      <c r="U1610" s="3">
        <v>402.85</v>
      </c>
      <c r="V1610" s="3">
        <v>372.02</v>
      </c>
      <c r="W1610" s="3">
        <v>159.38</v>
      </c>
    </row>
    <row r="1611" spans="1:23" ht="60.75">
      <c r="A1611" s="3" t="s">
        <v>23</v>
      </c>
      <c r="B1611" s="3" t="s">
        <v>24</v>
      </c>
      <c r="C1611" s="3" t="s">
        <v>35</v>
      </c>
      <c r="D1611" s="3" t="s">
        <v>36</v>
      </c>
      <c r="E1611" s="3" t="s">
        <v>32</v>
      </c>
      <c r="F1611" s="3" t="s">
        <v>179</v>
      </c>
      <c r="G1611" s="3">
        <v>2016</v>
      </c>
      <c r="H1611" s="3" t="str">
        <f>CONCATENATE("64240657524")</f>
        <v>64240657524</v>
      </c>
      <c r="I1611" s="3" t="s">
        <v>31</v>
      </c>
      <c r="J1611" s="3" t="s">
        <v>26</v>
      </c>
      <c r="K1611" s="3" t="str">
        <f t="shared" si="55"/>
        <v/>
      </c>
      <c r="L1611" s="3" t="str">
        <f>CONCATENATE("10 10.1 4b")</f>
        <v>10 10.1 4b</v>
      </c>
      <c r="M1611" s="3" t="str">
        <f>CONCATENATE("SNGSMN76E13G516I")</f>
        <v>SNGSMN76E13G516I</v>
      </c>
      <c r="N1611" s="3" t="s">
        <v>1652</v>
      </c>
      <c r="O1611" s="3"/>
      <c r="P1611" s="4">
        <v>42783</v>
      </c>
      <c r="Q1611" s="3" t="s">
        <v>27</v>
      </c>
      <c r="R1611" s="3" t="s">
        <v>28</v>
      </c>
      <c r="S1611" s="3" t="s">
        <v>29</v>
      </c>
      <c r="T1611" s="5">
        <v>1483.72</v>
      </c>
      <c r="U1611" s="3">
        <v>639.78</v>
      </c>
      <c r="V1611" s="3">
        <v>590.82000000000005</v>
      </c>
      <c r="W1611" s="3">
        <v>253.12</v>
      </c>
    </row>
    <row r="1612" spans="1:23" ht="60.75">
      <c r="A1612" s="3" t="s">
        <v>23</v>
      </c>
      <c r="B1612" s="3" t="s">
        <v>24</v>
      </c>
      <c r="C1612" s="3" t="s">
        <v>35</v>
      </c>
      <c r="D1612" s="3" t="s">
        <v>36</v>
      </c>
      <c r="E1612" s="3" t="s">
        <v>30</v>
      </c>
      <c r="F1612" s="3" t="s">
        <v>86</v>
      </c>
      <c r="G1612" s="3">
        <v>2016</v>
      </c>
      <c r="H1612" s="3" t="str">
        <f>CONCATENATE("64210930455")</f>
        <v>64210930455</v>
      </c>
      <c r="I1612" s="3" t="s">
        <v>25</v>
      </c>
      <c r="J1612" s="3" t="s">
        <v>26</v>
      </c>
      <c r="K1612" s="3" t="str">
        <f t="shared" si="55"/>
        <v/>
      </c>
      <c r="L1612" s="3" t="str">
        <f>CONCATENATE("13 13.1 4a")</f>
        <v>13 13.1 4a</v>
      </c>
      <c r="M1612" s="3" t="str">
        <f>CONCATENATE("MSSDRN43L42H390R")</f>
        <v>MSSDRN43L42H390R</v>
      </c>
      <c r="N1612" s="3" t="s">
        <v>1653</v>
      </c>
      <c r="O1612" s="3"/>
      <c r="P1612" s="4">
        <v>42783</v>
      </c>
      <c r="Q1612" s="3" t="s">
        <v>27</v>
      </c>
      <c r="R1612" s="3" t="s">
        <v>28</v>
      </c>
      <c r="S1612" s="3" t="s">
        <v>29</v>
      </c>
      <c r="T1612" s="5">
        <v>1931.55</v>
      </c>
      <c r="U1612" s="3">
        <v>832.88</v>
      </c>
      <c r="V1612" s="3">
        <v>769.14</v>
      </c>
      <c r="W1612" s="3">
        <v>329.53</v>
      </c>
    </row>
    <row r="1613" spans="1:23" ht="36.75">
      <c r="A1613" s="3" t="s">
        <v>23</v>
      </c>
      <c r="B1613" s="3" t="s">
        <v>24</v>
      </c>
      <c r="C1613" s="3" t="s">
        <v>35</v>
      </c>
      <c r="D1613" s="3" t="s">
        <v>36</v>
      </c>
      <c r="E1613" s="3" t="s">
        <v>30</v>
      </c>
      <c r="F1613" s="3" t="s">
        <v>37</v>
      </c>
      <c r="G1613" s="3">
        <v>2016</v>
      </c>
      <c r="H1613" s="3" t="str">
        <f>CONCATENATE("64240424529")</f>
        <v>64240424529</v>
      </c>
      <c r="I1613" s="3" t="s">
        <v>31</v>
      </c>
      <c r="J1613" s="3" t="s">
        <v>26</v>
      </c>
      <c r="K1613" s="3" t="str">
        <f t="shared" si="55"/>
        <v/>
      </c>
      <c r="L1613" s="3" t="str">
        <f>CONCATENATE("11 11.2 4b")</f>
        <v>11 11.2 4b</v>
      </c>
      <c r="M1613" s="3" t="str">
        <f>CONCATENATE("00938480449")</f>
        <v>00938480449</v>
      </c>
      <c r="N1613" s="3" t="s">
        <v>226</v>
      </c>
      <c r="O1613" s="3"/>
      <c r="P1613" s="4">
        <v>42783</v>
      </c>
      <c r="Q1613" s="3" t="s">
        <v>27</v>
      </c>
      <c r="R1613" s="3" t="s">
        <v>28</v>
      </c>
      <c r="S1613" s="3" t="s">
        <v>29</v>
      </c>
      <c r="T1613" s="5">
        <v>1984.99</v>
      </c>
      <c r="U1613" s="3">
        <v>855.93</v>
      </c>
      <c r="V1613" s="3">
        <v>790.42</v>
      </c>
      <c r="W1613" s="3">
        <v>338.64</v>
      </c>
    </row>
    <row r="1614" spans="1:23" ht="60.75">
      <c r="A1614" s="3" t="s">
        <v>23</v>
      </c>
      <c r="B1614" s="3" t="s">
        <v>24</v>
      </c>
      <c r="C1614" s="3" t="s">
        <v>35</v>
      </c>
      <c r="D1614" s="3" t="s">
        <v>43</v>
      </c>
      <c r="E1614" s="3" t="s">
        <v>59</v>
      </c>
      <c r="F1614" s="3" t="s">
        <v>662</v>
      </c>
      <c r="G1614" s="3">
        <v>2016</v>
      </c>
      <c r="H1614" s="3" t="str">
        <f>CONCATENATE("64240647731")</f>
        <v>64240647731</v>
      </c>
      <c r="I1614" s="3" t="s">
        <v>25</v>
      </c>
      <c r="J1614" s="3" t="s">
        <v>26</v>
      </c>
      <c r="K1614" s="3" t="str">
        <f t="shared" si="55"/>
        <v/>
      </c>
      <c r="L1614" s="3" t="str">
        <f>CONCATENATE("11 11.1 4b")</f>
        <v>11 11.1 4b</v>
      </c>
      <c r="M1614" s="3" t="str">
        <f>CONCATENATE("LSBLXA92B02D488V")</f>
        <v>LSBLXA92B02D488V</v>
      </c>
      <c r="N1614" s="3" t="s">
        <v>1654</v>
      </c>
      <c r="O1614" s="3"/>
      <c r="P1614" s="4">
        <v>42783</v>
      </c>
      <c r="Q1614" s="3" t="s">
        <v>27</v>
      </c>
      <c r="R1614" s="3" t="s">
        <v>28</v>
      </c>
      <c r="S1614" s="3" t="s">
        <v>29</v>
      </c>
      <c r="T1614" s="5">
        <v>4115.12</v>
      </c>
      <c r="U1614" s="5">
        <v>1774.44</v>
      </c>
      <c r="V1614" s="5">
        <v>1638.64</v>
      </c>
      <c r="W1614" s="3">
        <v>702.04</v>
      </c>
    </row>
    <row r="1615" spans="1:23" ht="60.75">
      <c r="A1615" s="3" t="s">
        <v>23</v>
      </c>
      <c r="B1615" s="3" t="s">
        <v>24</v>
      </c>
      <c r="C1615" s="3" t="s">
        <v>35</v>
      </c>
      <c r="D1615" s="3" t="s">
        <v>39</v>
      </c>
      <c r="E1615" s="3" t="s">
        <v>30</v>
      </c>
      <c r="F1615" s="3" t="s">
        <v>533</v>
      </c>
      <c r="G1615" s="3">
        <v>2016</v>
      </c>
      <c r="H1615" s="3" t="str">
        <f>CONCATENATE("64240307526")</f>
        <v>64240307526</v>
      </c>
      <c r="I1615" s="3" t="s">
        <v>25</v>
      </c>
      <c r="J1615" s="3" t="s">
        <v>26</v>
      </c>
      <c r="K1615" s="3" t="str">
        <f t="shared" si="55"/>
        <v/>
      </c>
      <c r="L1615" s="3" t="str">
        <f>CONCATENATE("11 11.2 4b")</f>
        <v>11 11.2 4b</v>
      </c>
      <c r="M1615" s="3" t="str">
        <f>CONCATENATE("NCLDNL66M09I461N")</f>
        <v>NCLDNL66M09I461N</v>
      </c>
      <c r="N1615" s="3" t="s">
        <v>1655</v>
      </c>
      <c r="O1615" s="3"/>
      <c r="P1615" s="4">
        <v>42783</v>
      </c>
      <c r="Q1615" s="3" t="s">
        <v>27</v>
      </c>
      <c r="R1615" s="3" t="s">
        <v>28</v>
      </c>
      <c r="S1615" s="3" t="s">
        <v>29</v>
      </c>
      <c r="T1615" s="5">
        <v>2071.04</v>
      </c>
      <c r="U1615" s="3">
        <v>893.03</v>
      </c>
      <c r="V1615" s="3">
        <v>824.69</v>
      </c>
      <c r="W1615" s="3">
        <v>353.32</v>
      </c>
    </row>
    <row r="1616" spans="1:23" ht="36.75">
      <c r="A1616" s="3" t="s">
        <v>23</v>
      </c>
      <c r="B1616" s="3" t="s">
        <v>24</v>
      </c>
      <c r="C1616" s="3" t="s">
        <v>35</v>
      </c>
      <c r="D1616" s="3" t="s">
        <v>36</v>
      </c>
      <c r="E1616" s="3" t="s">
        <v>42</v>
      </c>
      <c r="F1616" s="3" t="s">
        <v>42</v>
      </c>
      <c r="G1616" s="3">
        <v>2016</v>
      </c>
      <c r="H1616" s="3" t="str">
        <f>CONCATENATE("64240205316")</f>
        <v>64240205316</v>
      </c>
      <c r="I1616" s="3" t="s">
        <v>25</v>
      </c>
      <c r="J1616" s="3" t="s">
        <v>26</v>
      </c>
      <c r="K1616" s="3" t="str">
        <f t="shared" si="55"/>
        <v/>
      </c>
      <c r="L1616" s="3" t="str">
        <f>CONCATENATE("11 11.2 4b")</f>
        <v>11 11.2 4b</v>
      </c>
      <c r="M1616" s="3" t="str">
        <f>CONCATENATE("01511810440")</f>
        <v>01511810440</v>
      </c>
      <c r="N1616" s="3" t="s">
        <v>1656</v>
      </c>
      <c r="O1616" s="3"/>
      <c r="P1616" s="4">
        <v>42783</v>
      </c>
      <c r="Q1616" s="3" t="s">
        <v>27</v>
      </c>
      <c r="R1616" s="3" t="s">
        <v>28</v>
      </c>
      <c r="S1616" s="3" t="s">
        <v>29</v>
      </c>
      <c r="T1616" s="5">
        <v>6769.66</v>
      </c>
      <c r="U1616" s="5">
        <v>2919.08</v>
      </c>
      <c r="V1616" s="5">
        <v>2695.68</v>
      </c>
      <c r="W1616" s="5">
        <v>1154.9000000000001</v>
      </c>
    </row>
    <row r="1617" spans="1:23" ht="60.75">
      <c r="A1617" s="3" t="s">
        <v>23</v>
      </c>
      <c r="B1617" s="3" t="s">
        <v>24</v>
      </c>
      <c r="C1617" s="3" t="s">
        <v>35</v>
      </c>
      <c r="D1617" s="3" t="s">
        <v>48</v>
      </c>
      <c r="E1617" s="3" t="s">
        <v>49</v>
      </c>
      <c r="F1617" s="3" t="s">
        <v>50</v>
      </c>
      <c r="G1617" s="3">
        <v>2016</v>
      </c>
      <c r="H1617" s="3" t="str">
        <f>CONCATENATE("64210717118")</f>
        <v>64210717118</v>
      </c>
      <c r="I1617" s="3" t="s">
        <v>25</v>
      </c>
      <c r="J1617" s="3" t="s">
        <v>26</v>
      </c>
      <c r="K1617" s="3" t="str">
        <f t="shared" si="55"/>
        <v/>
      </c>
      <c r="L1617" s="3" t="str">
        <f>CONCATENATE("13 13.1 4a")</f>
        <v>13 13.1 4a</v>
      </c>
      <c r="M1617" s="3" t="str">
        <f>CONCATENATE("RCCRND85M13L191V")</f>
        <v>RCCRND85M13L191V</v>
      </c>
      <c r="N1617" s="3" t="s">
        <v>1414</v>
      </c>
      <c r="O1617" s="3"/>
      <c r="P1617" s="4">
        <v>42783</v>
      </c>
      <c r="Q1617" s="3" t="s">
        <v>27</v>
      </c>
      <c r="R1617" s="3" t="s">
        <v>28</v>
      </c>
      <c r="S1617" s="3" t="s">
        <v>29</v>
      </c>
      <c r="T1617" s="3">
        <v>284.12</v>
      </c>
      <c r="U1617" s="3">
        <v>122.51</v>
      </c>
      <c r="V1617" s="3">
        <v>113.14</v>
      </c>
      <c r="W1617" s="3">
        <v>48.47</v>
      </c>
    </row>
    <row r="1618" spans="1:23" ht="60.75">
      <c r="A1618" s="3" t="s">
        <v>23</v>
      </c>
      <c r="B1618" s="3" t="s">
        <v>24</v>
      </c>
      <c r="C1618" s="3" t="s">
        <v>35</v>
      </c>
      <c r="D1618" s="3" t="s">
        <v>39</v>
      </c>
      <c r="E1618" s="3" t="s">
        <v>34</v>
      </c>
      <c r="F1618" s="3" t="s">
        <v>170</v>
      </c>
      <c r="G1618" s="3">
        <v>2016</v>
      </c>
      <c r="H1618" s="3" t="str">
        <f>CONCATENATE("64240738944")</f>
        <v>64240738944</v>
      </c>
      <c r="I1618" s="3" t="s">
        <v>25</v>
      </c>
      <c r="J1618" s="3" t="s">
        <v>26</v>
      </c>
      <c r="K1618" s="3" t="str">
        <f t="shared" si="55"/>
        <v/>
      </c>
      <c r="L1618" s="3" t="str">
        <f>CONCATENATE("11 11.2 4b")</f>
        <v>11 11.2 4b</v>
      </c>
      <c r="M1618" s="3" t="str">
        <f>CONCATENATE("VRZMRC44C02F560Q")</f>
        <v>VRZMRC44C02F560Q</v>
      </c>
      <c r="N1618" s="3" t="s">
        <v>1657</v>
      </c>
      <c r="O1618" s="3"/>
      <c r="P1618" s="4">
        <v>42783</v>
      </c>
      <c r="Q1618" s="3" t="s">
        <v>27</v>
      </c>
      <c r="R1618" s="3" t="s">
        <v>28</v>
      </c>
      <c r="S1618" s="3" t="s">
        <v>29</v>
      </c>
      <c r="T1618" s="3">
        <v>358.86</v>
      </c>
      <c r="U1618" s="3">
        <v>154.74</v>
      </c>
      <c r="V1618" s="3">
        <v>142.9</v>
      </c>
      <c r="W1618" s="3">
        <v>61.22</v>
      </c>
    </row>
    <row r="1619" spans="1:23" ht="60.75">
      <c r="A1619" s="3" t="s">
        <v>23</v>
      </c>
      <c r="B1619" s="3" t="s">
        <v>24</v>
      </c>
      <c r="C1619" s="3" t="s">
        <v>35</v>
      </c>
      <c r="D1619" s="3" t="s">
        <v>48</v>
      </c>
      <c r="E1619" s="3" t="s">
        <v>33</v>
      </c>
      <c r="F1619" s="3" t="s">
        <v>1658</v>
      </c>
      <c r="G1619" s="3">
        <v>2016</v>
      </c>
      <c r="H1619" s="3" t="str">
        <f>CONCATENATE("64210556987")</f>
        <v>64210556987</v>
      </c>
      <c r="I1619" s="3" t="s">
        <v>25</v>
      </c>
      <c r="J1619" s="3" t="s">
        <v>26</v>
      </c>
      <c r="K1619" s="3" t="str">
        <f t="shared" si="55"/>
        <v/>
      </c>
      <c r="L1619" s="3" t="str">
        <f>CONCATENATE("13 13.1 4a")</f>
        <v>13 13.1 4a</v>
      </c>
      <c r="M1619" s="3" t="str">
        <f>CONCATENATE("DLCNDR54T10I661S")</f>
        <v>DLCNDR54T10I661S</v>
      </c>
      <c r="N1619" s="3" t="s">
        <v>1659</v>
      </c>
      <c r="O1619" s="3"/>
      <c r="P1619" s="4">
        <v>42783</v>
      </c>
      <c r="Q1619" s="3" t="s">
        <v>27</v>
      </c>
      <c r="R1619" s="3" t="s">
        <v>28</v>
      </c>
      <c r="S1619" s="3" t="s">
        <v>29</v>
      </c>
      <c r="T1619" s="5">
        <v>3091.2</v>
      </c>
      <c r="U1619" s="5">
        <v>1332.93</v>
      </c>
      <c r="V1619" s="5">
        <v>1230.92</v>
      </c>
      <c r="W1619" s="3">
        <v>527.35</v>
      </c>
    </row>
    <row r="1620" spans="1:23" ht="60.75">
      <c r="A1620" s="3" t="s">
        <v>23</v>
      </c>
      <c r="B1620" s="3" t="s">
        <v>24</v>
      </c>
      <c r="C1620" s="3" t="s">
        <v>35</v>
      </c>
      <c r="D1620" s="3" t="s">
        <v>43</v>
      </c>
      <c r="E1620" s="3" t="s">
        <v>33</v>
      </c>
      <c r="F1620" s="3" t="s">
        <v>848</v>
      </c>
      <c r="G1620" s="3">
        <v>2016</v>
      </c>
      <c r="H1620" s="3" t="str">
        <f>CONCATENATE("64210764599")</f>
        <v>64210764599</v>
      </c>
      <c r="I1620" s="3" t="s">
        <v>25</v>
      </c>
      <c r="J1620" s="3" t="s">
        <v>26</v>
      </c>
      <c r="K1620" s="3" t="str">
        <f t="shared" si="55"/>
        <v/>
      </c>
      <c r="L1620" s="3" t="str">
        <f>CONCATENATE("13 13.1 4a")</f>
        <v>13 13.1 4a</v>
      </c>
      <c r="M1620" s="3" t="str">
        <f>CONCATENATE("CNCLGU57A24I459O")</f>
        <v>CNCLGU57A24I459O</v>
      </c>
      <c r="N1620" s="3" t="s">
        <v>1189</v>
      </c>
      <c r="O1620" s="3"/>
      <c r="P1620" s="4">
        <v>42783</v>
      </c>
      <c r="Q1620" s="3" t="s">
        <v>27</v>
      </c>
      <c r="R1620" s="3" t="s">
        <v>28</v>
      </c>
      <c r="S1620" s="3" t="s">
        <v>29</v>
      </c>
      <c r="T1620" s="5">
        <v>2442.92</v>
      </c>
      <c r="U1620" s="5">
        <v>1053.3900000000001</v>
      </c>
      <c r="V1620" s="3">
        <v>972.77</v>
      </c>
      <c r="W1620" s="3">
        <v>416.76</v>
      </c>
    </row>
    <row r="1621" spans="1:23" ht="60.75">
      <c r="A1621" s="3" t="s">
        <v>23</v>
      </c>
      <c r="B1621" s="3" t="s">
        <v>24</v>
      </c>
      <c r="C1621" s="3" t="s">
        <v>35</v>
      </c>
      <c r="D1621" s="3" t="s">
        <v>36</v>
      </c>
      <c r="E1621" s="3" t="s">
        <v>42</v>
      </c>
      <c r="F1621" s="3" t="s">
        <v>42</v>
      </c>
      <c r="G1621" s="3">
        <v>2016</v>
      </c>
      <c r="H1621" s="3" t="str">
        <f>CONCATENATE("64240235560")</f>
        <v>64240235560</v>
      </c>
      <c r="I1621" s="3" t="s">
        <v>25</v>
      </c>
      <c r="J1621" s="3" t="s">
        <v>26</v>
      </c>
      <c r="K1621" s="3" t="str">
        <f t="shared" si="55"/>
        <v/>
      </c>
      <c r="L1621" s="3" t="str">
        <f>CONCATENATE("11 11.2 4b")</f>
        <v>11 11.2 4b</v>
      </c>
      <c r="M1621" s="3" t="str">
        <f>CONCATENATE("CPRCLD84M02H769E")</f>
        <v>CPRCLD84M02H769E</v>
      </c>
      <c r="N1621" s="3" t="s">
        <v>1660</v>
      </c>
      <c r="O1621" s="3"/>
      <c r="P1621" s="4">
        <v>42783</v>
      </c>
      <c r="Q1621" s="3" t="s">
        <v>27</v>
      </c>
      <c r="R1621" s="3" t="s">
        <v>28</v>
      </c>
      <c r="S1621" s="3" t="s">
        <v>29</v>
      </c>
      <c r="T1621" s="5">
        <v>5739.34</v>
      </c>
      <c r="U1621" s="5">
        <v>2474.8000000000002</v>
      </c>
      <c r="V1621" s="5">
        <v>2285.41</v>
      </c>
      <c r="W1621" s="3">
        <v>979.13</v>
      </c>
    </row>
    <row r="1622" spans="1:23" ht="60.75">
      <c r="A1622" s="3" t="s">
        <v>23</v>
      </c>
      <c r="B1622" s="3" t="s">
        <v>24</v>
      </c>
      <c r="C1622" s="3" t="s">
        <v>35</v>
      </c>
      <c r="D1622" s="3" t="s">
        <v>36</v>
      </c>
      <c r="E1622" s="3" t="s">
        <v>30</v>
      </c>
      <c r="F1622" s="3" t="s">
        <v>53</v>
      </c>
      <c r="G1622" s="3">
        <v>2016</v>
      </c>
      <c r="H1622" s="3" t="str">
        <f>CONCATENATE("64240886156")</f>
        <v>64240886156</v>
      </c>
      <c r="I1622" s="3" t="s">
        <v>25</v>
      </c>
      <c r="J1622" s="3" t="s">
        <v>26</v>
      </c>
      <c r="K1622" s="3" t="str">
        <f t="shared" si="55"/>
        <v/>
      </c>
      <c r="L1622" s="3" t="str">
        <f>CONCATENATE("11 11.2 4b")</f>
        <v>11 11.2 4b</v>
      </c>
      <c r="M1622" s="3" t="str">
        <f>CONCATENATE("PSQPTR55L21H321J")</f>
        <v>PSQPTR55L21H321J</v>
      </c>
      <c r="N1622" s="3" t="s">
        <v>1661</v>
      </c>
      <c r="O1622" s="3"/>
      <c r="P1622" s="4">
        <v>42783</v>
      </c>
      <c r="Q1622" s="3" t="s">
        <v>27</v>
      </c>
      <c r="R1622" s="3" t="s">
        <v>28</v>
      </c>
      <c r="S1622" s="3" t="s">
        <v>29</v>
      </c>
      <c r="T1622" s="5">
        <v>5897.93</v>
      </c>
      <c r="U1622" s="5">
        <v>2543.19</v>
      </c>
      <c r="V1622" s="5">
        <v>2348.56</v>
      </c>
      <c r="W1622" s="5">
        <v>1006.18</v>
      </c>
    </row>
    <row r="1623" spans="1:23" ht="60.75">
      <c r="A1623" s="3" t="s">
        <v>23</v>
      </c>
      <c r="B1623" s="3" t="s">
        <v>24</v>
      </c>
      <c r="C1623" s="3" t="s">
        <v>35</v>
      </c>
      <c r="D1623" s="3" t="s">
        <v>43</v>
      </c>
      <c r="E1623" s="3" t="s">
        <v>34</v>
      </c>
      <c r="F1623" s="3" t="s">
        <v>146</v>
      </c>
      <c r="G1623" s="3">
        <v>2016</v>
      </c>
      <c r="H1623" s="3" t="str">
        <f>CONCATENATE("64210845687")</f>
        <v>64210845687</v>
      </c>
      <c r="I1623" s="3" t="s">
        <v>25</v>
      </c>
      <c r="J1623" s="3" t="s">
        <v>26</v>
      </c>
      <c r="K1623" s="3" t="str">
        <f t="shared" si="55"/>
        <v/>
      </c>
      <c r="L1623" s="3" t="str">
        <f>CONCATENATE("13 13.1 4a")</f>
        <v>13 13.1 4a</v>
      </c>
      <c r="M1623" s="3" t="str">
        <f>CONCATENATE("LSCSMN79D61G942V")</f>
        <v>LSCSMN79D61G942V</v>
      </c>
      <c r="N1623" s="3" t="s">
        <v>1662</v>
      </c>
      <c r="O1623" s="3"/>
      <c r="P1623" s="4">
        <v>42783</v>
      </c>
      <c r="Q1623" s="3" t="s">
        <v>27</v>
      </c>
      <c r="R1623" s="3" t="s">
        <v>28</v>
      </c>
      <c r="S1623" s="3" t="s">
        <v>29</v>
      </c>
      <c r="T1623" s="5">
        <v>3189.46</v>
      </c>
      <c r="U1623" s="5">
        <v>1375.3</v>
      </c>
      <c r="V1623" s="5">
        <v>1270.04</v>
      </c>
      <c r="W1623" s="3">
        <v>544.12</v>
      </c>
    </row>
    <row r="1624" spans="1:23" ht="60.75">
      <c r="A1624" s="3" t="s">
        <v>23</v>
      </c>
      <c r="B1624" s="3" t="s">
        <v>24</v>
      </c>
      <c r="C1624" s="3" t="s">
        <v>35</v>
      </c>
      <c r="D1624" s="3" t="s">
        <v>39</v>
      </c>
      <c r="E1624" s="3" t="s">
        <v>30</v>
      </c>
      <c r="F1624" s="3" t="s">
        <v>84</v>
      </c>
      <c r="G1624" s="3">
        <v>2016</v>
      </c>
      <c r="H1624" s="3" t="str">
        <f>CONCATENATE("64210073835")</f>
        <v>64210073835</v>
      </c>
      <c r="I1624" s="3" t="s">
        <v>25</v>
      </c>
      <c r="J1624" s="3" t="s">
        <v>26</v>
      </c>
      <c r="K1624" s="3" t="str">
        <f t="shared" si="55"/>
        <v/>
      </c>
      <c r="L1624" s="3" t="str">
        <f>CONCATENATE("13 13.1 4a")</f>
        <v>13 13.1 4a</v>
      </c>
      <c r="M1624" s="3" t="str">
        <f>CONCATENATE("LOINTL73T25D451L")</f>
        <v>LOINTL73T25D451L</v>
      </c>
      <c r="N1624" s="3" t="s">
        <v>1663</v>
      </c>
      <c r="O1624" s="3"/>
      <c r="P1624" s="4">
        <v>42783</v>
      </c>
      <c r="Q1624" s="3" t="s">
        <v>27</v>
      </c>
      <c r="R1624" s="3" t="s">
        <v>28</v>
      </c>
      <c r="S1624" s="3" t="s">
        <v>29</v>
      </c>
      <c r="T1624" s="5">
        <v>3260.52</v>
      </c>
      <c r="U1624" s="5">
        <v>1405.94</v>
      </c>
      <c r="V1624" s="5">
        <v>1298.3399999999999</v>
      </c>
      <c r="W1624" s="3">
        <v>556.24</v>
      </c>
    </row>
    <row r="1625" spans="1:23" ht="60.75">
      <c r="A1625" s="3" t="s">
        <v>23</v>
      </c>
      <c r="B1625" s="3" t="s">
        <v>24</v>
      </c>
      <c r="C1625" s="3" t="s">
        <v>35</v>
      </c>
      <c r="D1625" s="3" t="s">
        <v>43</v>
      </c>
      <c r="E1625" s="3" t="s">
        <v>32</v>
      </c>
      <c r="F1625" s="3" t="s">
        <v>184</v>
      </c>
      <c r="G1625" s="3">
        <v>2016</v>
      </c>
      <c r="H1625" s="3" t="str">
        <f>CONCATENATE("64240633319")</f>
        <v>64240633319</v>
      </c>
      <c r="I1625" s="3" t="s">
        <v>25</v>
      </c>
      <c r="J1625" s="3" t="s">
        <v>26</v>
      </c>
      <c r="K1625" s="3" t="str">
        <f t="shared" si="55"/>
        <v/>
      </c>
      <c r="L1625" s="3" t="str">
        <f>CONCATENATE("11 11.2 4b")</f>
        <v>11 11.2 4b</v>
      </c>
      <c r="M1625" s="3" t="str">
        <f>CONCATENATE("LSSLDN61E57L500H")</f>
        <v>LSSLDN61E57L500H</v>
      </c>
      <c r="N1625" s="3" t="s">
        <v>1664</v>
      </c>
      <c r="O1625" s="3"/>
      <c r="P1625" s="4">
        <v>42783</v>
      </c>
      <c r="Q1625" s="3" t="s">
        <v>27</v>
      </c>
      <c r="R1625" s="3" t="s">
        <v>28</v>
      </c>
      <c r="S1625" s="3" t="s">
        <v>29</v>
      </c>
      <c r="T1625" s="5">
        <v>6569.21</v>
      </c>
      <c r="U1625" s="5">
        <v>2832.64</v>
      </c>
      <c r="V1625" s="5">
        <v>2615.86</v>
      </c>
      <c r="W1625" s="5">
        <v>1120.71</v>
      </c>
    </row>
    <row r="1626" spans="1:23" ht="48.75">
      <c r="A1626" s="3" t="s">
        <v>23</v>
      </c>
      <c r="B1626" s="3" t="s">
        <v>24</v>
      </c>
      <c r="C1626" s="3" t="s">
        <v>35</v>
      </c>
      <c r="D1626" s="3" t="s">
        <v>36</v>
      </c>
      <c r="E1626" s="3" t="s">
        <v>30</v>
      </c>
      <c r="F1626" s="3" t="s">
        <v>53</v>
      </c>
      <c r="G1626" s="3">
        <v>2016</v>
      </c>
      <c r="H1626" s="3" t="str">
        <f>CONCATENATE("64240864138")</f>
        <v>64240864138</v>
      </c>
      <c r="I1626" s="3" t="s">
        <v>25</v>
      </c>
      <c r="J1626" s="3" t="s">
        <v>26</v>
      </c>
      <c r="K1626" s="3" t="str">
        <f t="shared" si="55"/>
        <v/>
      </c>
      <c r="L1626" s="3" t="str">
        <f>CONCATENATE("10 10.1 4b")</f>
        <v>10 10.1 4b</v>
      </c>
      <c r="M1626" s="3" t="str">
        <f>CONCATENATE("CRLTLL48P08F415X")</f>
        <v>CRLTLL48P08F415X</v>
      </c>
      <c r="N1626" s="3" t="s">
        <v>1665</v>
      </c>
      <c r="O1626" s="3"/>
      <c r="P1626" s="4">
        <v>42783</v>
      </c>
      <c r="Q1626" s="3" t="s">
        <v>27</v>
      </c>
      <c r="R1626" s="3" t="s">
        <v>28</v>
      </c>
      <c r="S1626" s="3" t="s">
        <v>29</v>
      </c>
      <c r="T1626" s="5">
        <v>3283.37</v>
      </c>
      <c r="U1626" s="5">
        <v>1415.79</v>
      </c>
      <c r="V1626" s="5">
        <v>1307.44</v>
      </c>
      <c r="W1626" s="3">
        <v>560.14</v>
      </c>
    </row>
    <row r="1627" spans="1:23" ht="60.75">
      <c r="A1627" s="3" t="s">
        <v>23</v>
      </c>
      <c r="B1627" s="3" t="s">
        <v>24</v>
      </c>
      <c r="C1627" s="3" t="s">
        <v>35</v>
      </c>
      <c r="D1627" s="3" t="s">
        <v>36</v>
      </c>
      <c r="E1627" s="3" t="s">
        <v>59</v>
      </c>
      <c r="F1627" s="3" t="s">
        <v>62</v>
      </c>
      <c r="G1627" s="3">
        <v>2016</v>
      </c>
      <c r="H1627" s="3" t="str">
        <f>CONCATENATE("64240905329")</f>
        <v>64240905329</v>
      </c>
      <c r="I1627" s="3" t="s">
        <v>25</v>
      </c>
      <c r="J1627" s="3" t="s">
        <v>26</v>
      </c>
      <c r="K1627" s="3" t="str">
        <f t="shared" si="55"/>
        <v/>
      </c>
      <c r="L1627" s="3" t="str">
        <f>CONCATENATE("11 11.2 4b")</f>
        <v>11 11.2 4b</v>
      </c>
      <c r="M1627" s="3" t="str">
        <f>CONCATENATE("CPRGNN69A61H321K")</f>
        <v>CPRGNN69A61H321K</v>
      </c>
      <c r="N1627" s="3" t="s">
        <v>1666</v>
      </c>
      <c r="O1627" s="3"/>
      <c r="P1627" s="4">
        <v>42783</v>
      </c>
      <c r="Q1627" s="3" t="s">
        <v>27</v>
      </c>
      <c r="R1627" s="3" t="s">
        <v>28</v>
      </c>
      <c r="S1627" s="3" t="s">
        <v>29</v>
      </c>
      <c r="T1627" s="5">
        <v>3025.67</v>
      </c>
      <c r="U1627" s="5">
        <v>1304.67</v>
      </c>
      <c r="V1627" s="5">
        <v>1204.82</v>
      </c>
      <c r="W1627" s="3">
        <v>516.17999999999995</v>
      </c>
    </row>
    <row r="1628" spans="1:23" ht="60.75">
      <c r="A1628" s="3" t="s">
        <v>23</v>
      </c>
      <c r="B1628" s="3" t="s">
        <v>24</v>
      </c>
      <c r="C1628" s="3" t="s">
        <v>35</v>
      </c>
      <c r="D1628" s="3" t="s">
        <v>43</v>
      </c>
      <c r="E1628" s="3" t="s">
        <v>32</v>
      </c>
      <c r="F1628" s="3" t="s">
        <v>78</v>
      </c>
      <c r="G1628" s="3">
        <v>2016</v>
      </c>
      <c r="H1628" s="3" t="str">
        <f>CONCATENATE("64240424602")</f>
        <v>64240424602</v>
      </c>
      <c r="I1628" s="3" t="s">
        <v>25</v>
      </c>
      <c r="J1628" s="3" t="s">
        <v>26</v>
      </c>
      <c r="K1628" s="3" t="str">
        <f t="shared" si="55"/>
        <v/>
      </c>
      <c r="L1628" s="3" t="str">
        <f>CONCATENATE("11 11.2 4b")</f>
        <v>11 11.2 4b</v>
      </c>
      <c r="M1628" s="3" t="str">
        <f>CONCATENATE("DCHNRC61M20L500H")</f>
        <v>DCHNRC61M20L500H</v>
      </c>
      <c r="N1628" s="3" t="s">
        <v>1667</v>
      </c>
      <c r="O1628" s="3"/>
      <c r="P1628" s="4">
        <v>42783</v>
      </c>
      <c r="Q1628" s="3" t="s">
        <v>27</v>
      </c>
      <c r="R1628" s="3" t="s">
        <v>28</v>
      </c>
      <c r="S1628" s="3" t="s">
        <v>29</v>
      </c>
      <c r="T1628" s="5">
        <v>4389.54</v>
      </c>
      <c r="U1628" s="5">
        <v>1892.77</v>
      </c>
      <c r="V1628" s="5">
        <v>1747.91</v>
      </c>
      <c r="W1628" s="3">
        <v>748.86</v>
      </c>
    </row>
    <row r="1629" spans="1:23" ht="60.75">
      <c r="A1629" s="3" t="s">
        <v>23</v>
      </c>
      <c r="B1629" s="3" t="s">
        <v>24</v>
      </c>
      <c r="C1629" s="3" t="s">
        <v>35</v>
      </c>
      <c r="D1629" s="3" t="s">
        <v>39</v>
      </c>
      <c r="E1629" s="3" t="s">
        <v>30</v>
      </c>
      <c r="F1629" s="3" t="s">
        <v>285</v>
      </c>
      <c r="G1629" s="3">
        <v>2016</v>
      </c>
      <c r="H1629" s="3" t="str">
        <f>CONCATENATE("64240680484")</f>
        <v>64240680484</v>
      </c>
      <c r="I1629" s="3" t="s">
        <v>25</v>
      </c>
      <c r="J1629" s="3" t="s">
        <v>26</v>
      </c>
      <c r="K1629" s="3" t="str">
        <f t="shared" si="55"/>
        <v/>
      </c>
      <c r="L1629" s="3" t="str">
        <f>CONCATENATE("11 11.2 4b")</f>
        <v>11 11.2 4b</v>
      </c>
      <c r="M1629" s="3" t="str">
        <f>CONCATENATE("MNTMRZ66S16F401X")</f>
        <v>MNTMRZ66S16F401X</v>
      </c>
      <c r="N1629" s="3" t="s">
        <v>1668</v>
      </c>
      <c r="O1629" s="3"/>
      <c r="P1629" s="4">
        <v>42783</v>
      </c>
      <c r="Q1629" s="3" t="s">
        <v>27</v>
      </c>
      <c r="R1629" s="3" t="s">
        <v>28</v>
      </c>
      <c r="S1629" s="3" t="s">
        <v>29</v>
      </c>
      <c r="T1629" s="5">
        <v>2308.0500000000002</v>
      </c>
      <c r="U1629" s="3">
        <v>995.23</v>
      </c>
      <c r="V1629" s="3">
        <v>919.07</v>
      </c>
      <c r="W1629" s="3">
        <v>393.75</v>
      </c>
    </row>
    <row r="1630" spans="1:23" ht="60.75">
      <c r="A1630" s="3" t="s">
        <v>23</v>
      </c>
      <c r="B1630" s="3" t="s">
        <v>24</v>
      </c>
      <c r="C1630" s="3" t="s">
        <v>35</v>
      </c>
      <c r="D1630" s="3" t="s">
        <v>36</v>
      </c>
      <c r="E1630" s="3" t="s">
        <v>30</v>
      </c>
      <c r="F1630" s="3" t="s">
        <v>37</v>
      </c>
      <c r="G1630" s="3">
        <v>2016</v>
      </c>
      <c r="H1630" s="3" t="str">
        <f>CONCATENATE("64240885646")</f>
        <v>64240885646</v>
      </c>
      <c r="I1630" s="3" t="s">
        <v>25</v>
      </c>
      <c r="J1630" s="3" t="s">
        <v>26</v>
      </c>
      <c r="K1630" s="3" t="str">
        <f t="shared" si="55"/>
        <v/>
      </c>
      <c r="L1630" s="3" t="str">
        <f>CONCATENATE("10 10.1 4b")</f>
        <v>10 10.1 4b</v>
      </c>
      <c r="M1630" s="3" t="str">
        <f>CONCATENATE("GLLSFN78C14A462E")</f>
        <v>GLLSFN78C14A462E</v>
      </c>
      <c r="N1630" s="3" t="s">
        <v>1479</v>
      </c>
      <c r="O1630" s="3"/>
      <c r="P1630" s="4">
        <v>42783</v>
      </c>
      <c r="Q1630" s="3" t="s">
        <v>27</v>
      </c>
      <c r="R1630" s="3" t="s">
        <v>28</v>
      </c>
      <c r="S1630" s="3" t="s">
        <v>29</v>
      </c>
      <c r="T1630" s="5">
        <v>4839.6099999999997</v>
      </c>
      <c r="U1630" s="5">
        <v>2086.84</v>
      </c>
      <c r="V1630" s="5">
        <v>1927.13</v>
      </c>
      <c r="W1630" s="3">
        <v>825.64</v>
      </c>
    </row>
    <row r="1631" spans="1:23" ht="72.75">
      <c r="A1631" s="3" t="s">
        <v>23</v>
      </c>
      <c r="B1631" s="3" t="s">
        <v>24</v>
      </c>
      <c r="C1631" s="3" t="s">
        <v>35</v>
      </c>
      <c r="D1631" s="3" t="s">
        <v>36</v>
      </c>
      <c r="E1631" s="3" t="s">
        <v>30</v>
      </c>
      <c r="F1631" s="3" t="s">
        <v>257</v>
      </c>
      <c r="G1631" s="3">
        <v>2016</v>
      </c>
      <c r="H1631" s="3" t="str">
        <f>CONCATENATE("64240746731")</f>
        <v>64240746731</v>
      </c>
      <c r="I1631" s="3" t="s">
        <v>25</v>
      </c>
      <c r="J1631" s="3" t="s">
        <v>26</v>
      </c>
      <c r="K1631" s="3" t="str">
        <f t="shared" si="55"/>
        <v/>
      </c>
      <c r="L1631" s="3" t="str">
        <f>CONCATENATE("11 11.2 4b")</f>
        <v>11 11.2 4b</v>
      </c>
      <c r="M1631" s="3" t="str">
        <f>CONCATENATE("MZZGNN67R10D542G")</f>
        <v>MZZGNN67R10D542G</v>
      </c>
      <c r="N1631" s="3" t="s">
        <v>1636</v>
      </c>
      <c r="O1631" s="3"/>
      <c r="P1631" s="4">
        <v>42783</v>
      </c>
      <c r="Q1631" s="3" t="s">
        <v>27</v>
      </c>
      <c r="R1631" s="3" t="s">
        <v>28</v>
      </c>
      <c r="S1631" s="3" t="s">
        <v>29</v>
      </c>
      <c r="T1631" s="5">
        <v>3807.22</v>
      </c>
      <c r="U1631" s="5">
        <v>1641.67</v>
      </c>
      <c r="V1631" s="5">
        <v>1516.04</v>
      </c>
      <c r="W1631" s="3">
        <v>649.51</v>
      </c>
    </row>
    <row r="1632" spans="1:23" ht="36.75">
      <c r="A1632" s="3" t="s">
        <v>23</v>
      </c>
      <c r="B1632" s="3" t="s">
        <v>24</v>
      </c>
      <c r="C1632" s="3" t="s">
        <v>35</v>
      </c>
      <c r="D1632" s="3" t="s">
        <v>48</v>
      </c>
      <c r="E1632" s="3" t="s">
        <v>49</v>
      </c>
      <c r="F1632" s="3" t="s">
        <v>80</v>
      </c>
      <c r="G1632" s="3">
        <v>2016</v>
      </c>
      <c r="H1632" s="3" t="str">
        <f>CONCATENATE("64210677643")</f>
        <v>64210677643</v>
      </c>
      <c r="I1632" s="3" t="s">
        <v>25</v>
      </c>
      <c r="J1632" s="3" t="s">
        <v>26</v>
      </c>
      <c r="K1632" s="3" t="str">
        <f t="shared" si="55"/>
        <v/>
      </c>
      <c r="L1632" s="3" t="str">
        <f>CONCATENATE("13 13.1 4a")</f>
        <v>13 13.1 4a</v>
      </c>
      <c r="M1632" s="3" t="str">
        <f>CONCATENATE("01674610439")</f>
        <v>01674610439</v>
      </c>
      <c r="N1632" s="3" t="s">
        <v>1669</v>
      </c>
      <c r="O1632" s="3"/>
      <c r="P1632" s="4">
        <v>42783</v>
      </c>
      <c r="Q1632" s="3" t="s">
        <v>27</v>
      </c>
      <c r="R1632" s="3" t="s">
        <v>28</v>
      </c>
      <c r="S1632" s="3" t="s">
        <v>29</v>
      </c>
      <c r="T1632" s="5">
        <v>4590</v>
      </c>
      <c r="U1632" s="5">
        <v>1979.21</v>
      </c>
      <c r="V1632" s="5">
        <v>1827.74</v>
      </c>
      <c r="W1632" s="3">
        <v>783.05</v>
      </c>
    </row>
    <row r="1633" spans="1:23" ht="72.75">
      <c r="A1633" s="3" t="s">
        <v>23</v>
      </c>
      <c r="B1633" s="3" t="s">
        <v>24</v>
      </c>
      <c r="C1633" s="3" t="s">
        <v>35</v>
      </c>
      <c r="D1633" s="3" t="s">
        <v>39</v>
      </c>
      <c r="E1633" s="3" t="s">
        <v>42</v>
      </c>
      <c r="F1633" s="3" t="s">
        <v>42</v>
      </c>
      <c r="G1633" s="3">
        <v>2016</v>
      </c>
      <c r="H1633" s="3" t="str">
        <f>CONCATENATE("64240636411")</f>
        <v>64240636411</v>
      </c>
      <c r="I1633" s="3" t="s">
        <v>25</v>
      </c>
      <c r="J1633" s="3" t="s">
        <v>26</v>
      </c>
      <c r="K1633" s="3" t="str">
        <f t="shared" si="55"/>
        <v/>
      </c>
      <c r="L1633" s="3" t="str">
        <f>CONCATENATE("11 11.2 4b")</f>
        <v>11 11.2 4b</v>
      </c>
      <c r="M1633" s="3" t="str">
        <f>CONCATENATE("CNGGPP58D64D597M")</f>
        <v>CNGGPP58D64D597M</v>
      </c>
      <c r="N1633" s="3" t="s">
        <v>1670</v>
      </c>
      <c r="O1633" s="3"/>
      <c r="P1633" s="4">
        <v>42783</v>
      </c>
      <c r="Q1633" s="3" t="s">
        <v>27</v>
      </c>
      <c r="R1633" s="3" t="s">
        <v>28</v>
      </c>
      <c r="S1633" s="3" t="s">
        <v>29</v>
      </c>
      <c r="T1633" s="5">
        <v>7117.79</v>
      </c>
      <c r="U1633" s="5">
        <v>3069.19</v>
      </c>
      <c r="V1633" s="5">
        <v>2834.3</v>
      </c>
      <c r="W1633" s="5">
        <v>1214.3</v>
      </c>
    </row>
    <row r="1634" spans="1:23" ht="36.75">
      <c r="A1634" s="3" t="s">
        <v>23</v>
      </c>
      <c r="B1634" s="3" t="s">
        <v>24</v>
      </c>
      <c r="C1634" s="3" t="s">
        <v>35</v>
      </c>
      <c r="D1634" s="3" t="s">
        <v>39</v>
      </c>
      <c r="E1634" s="3" t="s">
        <v>30</v>
      </c>
      <c r="F1634" s="3" t="s">
        <v>84</v>
      </c>
      <c r="G1634" s="3">
        <v>2016</v>
      </c>
      <c r="H1634" s="3" t="str">
        <f>CONCATENATE("64210801904")</f>
        <v>64210801904</v>
      </c>
      <c r="I1634" s="3" t="s">
        <v>25</v>
      </c>
      <c r="J1634" s="3" t="s">
        <v>26</v>
      </c>
      <c r="K1634" s="3" t="str">
        <f t="shared" si="55"/>
        <v/>
      </c>
      <c r="L1634" s="3" t="str">
        <f>CONCATENATE("13 13.1 4a")</f>
        <v>13 13.1 4a</v>
      </c>
      <c r="M1634" s="3" t="str">
        <f>CONCATENATE("02710320421")</f>
        <v>02710320421</v>
      </c>
      <c r="N1634" s="3" t="s">
        <v>1671</v>
      </c>
      <c r="O1634" s="3"/>
      <c r="P1634" s="4">
        <v>42783</v>
      </c>
      <c r="Q1634" s="3" t="s">
        <v>27</v>
      </c>
      <c r="R1634" s="3" t="s">
        <v>28</v>
      </c>
      <c r="S1634" s="3" t="s">
        <v>29</v>
      </c>
      <c r="T1634" s="3">
        <v>362.82</v>
      </c>
      <c r="U1634" s="3">
        <v>156.44999999999999</v>
      </c>
      <c r="V1634" s="3">
        <v>144.47</v>
      </c>
      <c r="W1634" s="3">
        <v>61.9</v>
      </c>
    </row>
    <row r="1635" spans="1:23" ht="60.75">
      <c r="A1635" s="3" t="s">
        <v>23</v>
      </c>
      <c r="B1635" s="3" t="s">
        <v>24</v>
      </c>
      <c r="C1635" s="3" t="s">
        <v>35</v>
      </c>
      <c r="D1635" s="3" t="s">
        <v>43</v>
      </c>
      <c r="E1635" s="3" t="s">
        <v>30</v>
      </c>
      <c r="F1635" s="3" t="s">
        <v>104</v>
      </c>
      <c r="G1635" s="3">
        <v>2016</v>
      </c>
      <c r="H1635" s="3" t="str">
        <f>CONCATENATE("64210857179")</f>
        <v>64210857179</v>
      </c>
      <c r="I1635" s="3" t="s">
        <v>25</v>
      </c>
      <c r="J1635" s="3" t="s">
        <v>26</v>
      </c>
      <c r="K1635" s="3" t="str">
        <f t="shared" si="55"/>
        <v/>
      </c>
      <c r="L1635" s="3" t="str">
        <f>CONCATENATE("13 13.1 4a")</f>
        <v>13 13.1 4a</v>
      </c>
      <c r="M1635" s="3" t="str">
        <f>CONCATENATE("SMKTTN73S70Z154V")</f>
        <v>SMKTTN73S70Z154V</v>
      </c>
      <c r="N1635" s="3" t="s">
        <v>1170</v>
      </c>
      <c r="O1635" s="3"/>
      <c r="P1635" s="4">
        <v>42783</v>
      </c>
      <c r="Q1635" s="3" t="s">
        <v>27</v>
      </c>
      <c r="R1635" s="3" t="s">
        <v>28</v>
      </c>
      <c r="S1635" s="3" t="s">
        <v>29</v>
      </c>
      <c r="T1635" s="5">
        <v>2135.81</v>
      </c>
      <c r="U1635" s="3">
        <v>920.96</v>
      </c>
      <c r="V1635" s="3">
        <v>850.48</v>
      </c>
      <c r="W1635" s="3">
        <v>364.37</v>
      </c>
    </row>
    <row r="1636" spans="1:23" ht="36.75">
      <c r="A1636" s="3" t="s">
        <v>23</v>
      </c>
      <c r="B1636" s="3" t="s">
        <v>24</v>
      </c>
      <c r="C1636" s="3" t="s">
        <v>35</v>
      </c>
      <c r="D1636" s="3" t="s">
        <v>39</v>
      </c>
      <c r="E1636" s="3" t="s">
        <v>34</v>
      </c>
      <c r="F1636" s="3" t="s">
        <v>170</v>
      </c>
      <c r="G1636" s="3">
        <v>2016</v>
      </c>
      <c r="H1636" s="3" t="str">
        <f>CONCATENATE("64240611620")</f>
        <v>64240611620</v>
      </c>
      <c r="I1636" s="3" t="s">
        <v>25</v>
      </c>
      <c r="J1636" s="3" t="s">
        <v>26</v>
      </c>
      <c r="K1636" s="3" t="str">
        <f t="shared" si="55"/>
        <v/>
      </c>
      <c r="L1636" s="3" t="str">
        <f>CONCATENATE("11 11.2 4b")</f>
        <v>11 11.2 4b</v>
      </c>
      <c r="M1636" s="3" t="str">
        <f>CONCATENATE("00078000429")</f>
        <v>00078000429</v>
      </c>
      <c r="N1636" s="3" t="s">
        <v>881</v>
      </c>
      <c r="O1636" s="3"/>
      <c r="P1636" s="4">
        <v>42783</v>
      </c>
      <c r="Q1636" s="3" t="s">
        <v>27</v>
      </c>
      <c r="R1636" s="3" t="s">
        <v>28</v>
      </c>
      <c r="S1636" s="3" t="s">
        <v>29</v>
      </c>
      <c r="T1636" s="5">
        <v>31647.919999999998</v>
      </c>
      <c r="U1636" s="5">
        <v>13646.58</v>
      </c>
      <c r="V1636" s="5">
        <v>12602.2</v>
      </c>
      <c r="W1636" s="5">
        <v>5399.14</v>
      </c>
    </row>
    <row r="1637" spans="1:23" ht="60.75">
      <c r="A1637" s="3" t="s">
        <v>23</v>
      </c>
      <c r="B1637" s="3" t="s">
        <v>24</v>
      </c>
      <c r="C1637" s="3" t="s">
        <v>35</v>
      </c>
      <c r="D1637" s="3" t="s">
        <v>36</v>
      </c>
      <c r="E1637" s="3" t="s">
        <v>59</v>
      </c>
      <c r="F1637" s="3" t="s">
        <v>62</v>
      </c>
      <c r="G1637" s="3">
        <v>2016</v>
      </c>
      <c r="H1637" s="3" t="str">
        <f>CONCATENATE("64240615928")</f>
        <v>64240615928</v>
      </c>
      <c r="I1637" s="3" t="s">
        <v>25</v>
      </c>
      <c r="J1637" s="3" t="s">
        <v>26</v>
      </c>
      <c r="K1637" s="3" t="str">
        <f t="shared" si="55"/>
        <v/>
      </c>
      <c r="L1637" s="3" t="str">
        <f>CONCATENATE("11 11.1 4b")</f>
        <v>11 11.1 4b</v>
      </c>
      <c r="M1637" s="3" t="str">
        <f>CONCATENATE("DSDSML89P21A462C")</f>
        <v>DSDSML89P21A462C</v>
      </c>
      <c r="N1637" s="3" t="s">
        <v>1672</v>
      </c>
      <c r="O1637" s="3"/>
      <c r="P1637" s="4">
        <v>42783</v>
      </c>
      <c r="Q1637" s="3" t="s">
        <v>27</v>
      </c>
      <c r="R1637" s="3" t="s">
        <v>28</v>
      </c>
      <c r="S1637" s="3" t="s">
        <v>29</v>
      </c>
      <c r="T1637" s="5">
        <v>4166.3500000000004</v>
      </c>
      <c r="U1637" s="5">
        <v>1796.53</v>
      </c>
      <c r="V1637" s="5">
        <v>1659.04</v>
      </c>
      <c r="W1637" s="3">
        <v>710.78</v>
      </c>
    </row>
    <row r="1638" spans="1:23" ht="72.75">
      <c r="A1638" s="3" t="s">
        <v>23</v>
      </c>
      <c r="B1638" s="3" t="s">
        <v>24</v>
      </c>
      <c r="C1638" s="3" t="s">
        <v>35</v>
      </c>
      <c r="D1638" s="3" t="s">
        <v>48</v>
      </c>
      <c r="E1638" s="3" t="s">
        <v>49</v>
      </c>
      <c r="F1638" s="3" t="s">
        <v>779</v>
      </c>
      <c r="G1638" s="3">
        <v>2016</v>
      </c>
      <c r="H1638" s="3" t="str">
        <f>CONCATENATE("64240720876")</f>
        <v>64240720876</v>
      </c>
      <c r="I1638" s="3" t="s">
        <v>25</v>
      </c>
      <c r="J1638" s="3" t="s">
        <v>26</v>
      </c>
      <c r="K1638" s="3" t="str">
        <f t="shared" si="55"/>
        <v/>
      </c>
      <c r="L1638" s="3" t="str">
        <f>CONCATENATE("11 11.1 4b")</f>
        <v>11 11.1 4b</v>
      </c>
      <c r="M1638" s="3" t="str">
        <f>CONCATENATE("MGRMRN54H27B398Y")</f>
        <v>MGRMRN54H27B398Y</v>
      </c>
      <c r="N1638" s="3" t="s">
        <v>1673</v>
      </c>
      <c r="O1638" s="3"/>
      <c r="P1638" s="4">
        <v>42783</v>
      </c>
      <c r="Q1638" s="3" t="s">
        <v>27</v>
      </c>
      <c r="R1638" s="3" t="s">
        <v>28</v>
      </c>
      <c r="S1638" s="3" t="s">
        <v>29</v>
      </c>
      <c r="T1638" s="5">
        <v>1526.76</v>
      </c>
      <c r="U1638" s="3">
        <v>658.34</v>
      </c>
      <c r="V1638" s="3">
        <v>607.96</v>
      </c>
      <c r="W1638" s="3">
        <v>260.45999999999998</v>
      </c>
    </row>
    <row r="1639" spans="1:23" ht="60.75">
      <c r="A1639" s="3" t="s">
        <v>23</v>
      </c>
      <c r="B1639" s="3" t="s">
        <v>24</v>
      </c>
      <c r="C1639" s="3" t="s">
        <v>35</v>
      </c>
      <c r="D1639" s="3" t="s">
        <v>36</v>
      </c>
      <c r="E1639" s="3" t="s">
        <v>42</v>
      </c>
      <c r="F1639" s="3" t="s">
        <v>42</v>
      </c>
      <c r="G1639" s="3">
        <v>2016</v>
      </c>
      <c r="H1639" s="3" t="str">
        <f>CONCATENATE("64240166781")</f>
        <v>64240166781</v>
      </c>
      <c r="I1639" s="3" t="s">
        <v>25</v>
      </c>
      <c r="J1639" s="3" t="s">
        <v>26</v>
      </c>
      <c r="K1639" s="3" t="str">
        <f t="shared" si="55"/>
        <v/>
      </c>
      <c r="L1639" s="3" t="str">
        <f>CONCATENATE("11 11.2 4b")</f>
        <v>11 11.2 4b</v>
      </c>
      <c r="M1639" s="3" t="str">
        <f>CONCATENATE("PMPMNL74P42H769P")</f>
        <v>PMPMNL74P42H769P</v>
      </c>
      <c r="N1639" s="3" t="s">
        <v>1674</v>
      </c>
      <c r="O1639" s="3"/>
      <c r="P1639" s="4">
        <v>42783</v>
      </c>
      <c r="Q1639" s="3" t="s">
        <v>27</v>
      </c>
      <c r="R1639" s="3" t="s">
        <v>28</v>
      </c>
      <c r="S1639" s="3" t="s">
        <v>29</v>
      </c>
      <c r="T1639" s="5">
        <v>1346.9</v>
      </c>
      <c r="U1639" s="3">
        <v>580.78</v>
      </c>
      <c r="V1639" s="3">
        <v>536.34</v>
      </c>
      <c r="W1639" s="3">
        <v>229.78</v>
      </c>
    </row>
    <row r="1640" spans="1:23" ht="36.75">
      <c r="A1640" s="3" t="s">
        <v>23</v>
      </c>
      <c r="B1640" s="3" t="s">
        <v>24</v>
      </c>
      <c r="C1640" s="3" t="s">
        <v>35</v>
      </c>
      <c r="D1640" s="3" t="s">
        <v>48</v>
      </c>
      <c r="E1640" s="3" t="s">
        <v>33</v>
      </c>
      <c r="F1640" s="3" t="s">
        <v>358</v>
      </c>
      <c r="G1640" s="3">
        <v>2016</v>
      </c>
      <c r="H1640" s="3" t="str">
        <f>CONCATENATE("64240546776")</f>
        <v>64240546776</v>
      </c>
      <c r="I1640" s="3" t="s">
        <v>25</v>
      </c>
      <c r="J1640" s="3" t="s">
        <v>26</v>
      </c>
      <c r="K1640" s="3" t="str">
        <f t="shared" si="55"/>
        <v/>
      </c>
      <c r="L1640" s="3" t="str">
        <f>CONCATENATE("11 11.2 4b")</f>
        <v>11 11.2 4b</v>
      </c>
      <c r="M1640" s="3" t="str">
        <f>CONCATENATE("01428360430")</f>
        <v>01428360430</v>
      </c>
      <c r="N1640" s="3" t="s">
        <v>1675</v>
      </c>
      <c r="O1640" s="3"/>
      <c r="P1640" s="4">
        <v>42783</v>
      </c>
      <c r="Q1640" s="3" t="s">
        <v>27</v>
      </c>
      <c r="R1640" s="3" t="s">
        <v>28</v>
      </c>
      <c r="S1640" s="3" t="s">
        <v>29</v>
      </c>
      <c r="T1640" s="5">
        <v>2510.87</v>
      </c>
      <c r="U1640" s="5">
        <v>1082.69</v>
      </c>
      <c r="V1640" s="3">
        <v>999.83</v>
      </c>
      <c r="W1640" s="3">
        <v>428.35</v>
      </c>
    </row>
    <row r="1641" spans="1:23" ht="60.75">
      <c r="A1641" s="3" t="s">
        <v>23</v>
      </c>
      <c r="B1641" s="3" t="s">
        <v>24</v>
      </c>
      <c r="C1641" s="3" t="s">
        <v>35</v>
      </c>
      <c r="D1641" s="3" t="s">
        <v>36</v>
      </c>
      <c r="E1641" s="3" t="s">
        <v>30</v>
      </c>
      <c r="F1641" s="3" t="s">
        <v>37</v>
      </c>
      <c r="G1641" s="3">
        <v>2016</v>
      </c>
      <c r="H1641" s="3" t="str">
        <f>CONCATENATE("64210332421")</f>
        <v>64210332421</v>
      </c>
      <c r="I1641" s="3" t="s">
        <v>25</v>
      </c>
      <c r="J1641" s="3" t="s">
        <v>26</v>
      </c>
      <c r="K1641" s="3" t="str">
        <f t="shared" si="55"/>
        <v/>
      </c>
      <c r="L1641" s="3" t="str">
        <f>CONCATENATE("13 13.1 4a")</f>
        <v>13 13.1 4a</v>
      </c>
      <c r="M1641" s="3" t="str">
        <f>CONCATENATE("PCTGPP36M02F509O")</f>
        <v>PCTGPP36M02F509O</v>
      </c>
      <c r="N1641" s="3" t="s">
        <v>1676</v>
      </c>
      <c r="O1641" s="3"/>
      <c r="P1641" s="4">
        <v>42783</v>
      </c>
      <c r="Q1641" s="3" t="s">
        <v>27</v>
      </c>
      <c r="R1641" s="3" t="s">
        <v>28</v>
      </c>
      <c r="S1641" s="3" t="s">
        <v>29</v>
      </c>
      <c r="T1641" s="5">
        <v>2540.83</v>
      </c>
      <c r="U1641" s="5">
        <v>1095.6099999999999</v>
      </c>
      <c r="V1641" s="5">
        <v>1011.76</v>
      </c>
      <c r="W1641" s="3">
        <v>433.46</v>
      </c>
    </row>
    <row r="1642" spans="1:23" ht="36.75">
      <c r="A1642" s="3" t="s">
        <v>23</v>
      </c>
      <c r="B1642" s="3" t="s">
        <v>24</v>
      </c>
      <c r="C1642" s="3" t="s">
        <v>35</v>
      </c>
      <c r="D1642" s="3" t="s">
        <v>36</v>
      </c>
      <c r="E1642" s="3" t="s">
        <v>30</v>
      </c>
      <c r="F1642" s="3" t="s">
        <v>53</v>
      </c>
      <c r="G1642" s="3">
        <v>2016</v>
      </c>
      <c r="H1642" s="3" t="str">
        <f>CONCATENATE("64240333712")</f>
        <v>64240333712</v>
      </c>
      <c r="I1642" s="3" t="s">
        <v>25</v>
      </c>
      <c r="J1642" s="3" t="s">
        <v>26</v>
      </c>
      <c r="K1642" s="3" t="str">
        <f t="shared" si="55"/>
        <v/>
      </c>
      <c r="L1642" s="3" t="str">
        <f>CONCATENATE("11 11.2 4b")</f>
        <v>11 11.2 4b</v>
      </c>
      <c r="M1642" s="3" t="str">
        <f>CONCATENATE("02238510446")</f>
        <v>02238510446</v>
      </c>
      <c r="N1642" s="3" t="s">
        <v>1677</v>
      </c>
      <c r="O1642" s="3"/>
      <c r="P1642" s="4">
        <v>42783</v>
      </c>
      <c r="Q1642" s="3" t="s">
        <v>27</v>
      </c>
      <c r="R1642" s="3" t="s">
        <v>28</v>
      </c>
      <c r="S1642" s="3" t="s">
        <v>29</v>
      </c>
      <c r="T1642" s="5">
        <v>2861.02</v>
      </c>
      <c r="U1642" s="5">
        <v>1233.67</v>
      </c>
      <c r="V1642" s="5">
        <v>1139.26</v>
      </c>
      <c r="W1642" s="3">
        <v>488.09</v>
      </c>
    </row>
    <row r="1643" spans="1:23" ht="60.75">
      <c r="A1643" s="3" t="s">
        <v>23</v>
      </c>
      <c r="B1643" s="3" t="s">
        <v>24</v>
      </c>
      <c r="C1643" s="3" t="s">
        <v>35</v>
      </c>
      <c r="D1643" s="3" t="s">
        <v>43</v>
      </c>
      <c r="E1643" s="3" t="s">
        <v>30</v>
      </c>
      <c r="F1643" s="3" t="s">
        <v>124</v>
      </c>
      <c r="G1643" s="3">
        <v>2016</v>
      </c>
      <c r="H1643" s="3" t="str">
        <f>CONCATENATE("64240741633")</f>
        <v>64240741633</v>
      </c>
      <c r="I1643" s="3" t="s">
        <v>25</v>
      </c>
      <c r="J1643" s="3" t="s">
        <v>26</v>
      </c>
      <c r="K1643" s="3" t="str">
        <f t="shared" si="55"/>
        <v/>
      </c>
      <c r="L1643" s="3" t="str">
        <f>CONCATENATE("11 11.2 4b")</f>
        <v>11 11.2 4b</v>
      </c>
      <c r="M1643" s="3" t="str">
        <f>CONCATENATE("BNDCLD68E05I287I")</f>
        <v>BNDCLD68E05I287I</v>
      </c>
      <c r="N1643" s="3" t="s">
        <v>1678</v>
      </c>
      <c r="O1643" s="3"/>
      <c r="P1643" s="4">
        <v>42783</v>
      </c>
      <c r="Q1643" s="3" t="s">
        <v>27</v>
      </c>
      <c r="R1643" s="3" t="s">
        <v>28</v>
      </c>
      <c r="S1643" s="3" t="s">
        <v>29</v>
      </c>
      <c r="T1643" s="5">
        <v>14574.92</v>
      </c>
      <c r="U1643" s="5">
        <v>6284.71</v>
      </c>
      <c r="V1643" s="5">
        <v>5803.73</v>
      </c>
      <c r="W1643" s="5">
        <v>2486.48</v>
      </c>
    </row>
    <row r="1644" spans="1:23" ht="60.75">
      <c r="A1644" s="3" t="s">
        <v>23</v>
      </c>
      <c r="B1644" s="3" t="s">
        <v>24</v>
      </c>
      <c r="C1644" s="3" t="s">
        <v>35</v>
      </c>
      <c r="D1644" s="3" t="s">
        <v>36</v>
      </c>
      <c r="E1644" s="3" t="s">
        <v>59</v>
      </c>
      <c r="F1644" s="3" t="s">
        <v>62</v>
      </c>
      <c r="G1644" s="3">
        <v>2016</v>
      </c>
      <c r="H1644" s="3" t="str">
        <f>CONCATENATE("64240386801")</f>
        <v>64240386801</v>
      </c>
      <c r="I1644" s="3" t="s">
        <v>25</v>
      </c>
      <c r="J1644" s="3" t="s">
        <v>26</v>
      </c>
      <c r="K1644" s="3" t="str">
        <f t="shared" si="55"/>
        <v/>
      </c>
      <c r="L1644" s="3" t="str">
        <f>CONCATENATE("11 11.2 4b")</f>
        <v>11 11.2 4b</v>
      </c>
      <c r="M1644" s="3" t="str">
        <f>CONCATENATE("DNGGZN71T07G005Q")</f>
        <v>DNGGZN71T07G005Q</v>
      </c>
      <c r="N1644" s="3" t="s">
        <v>1679</v>
      </c>
      <c r="O1644" s="3"/>
      <c r="P1644" s="4">
        <v>42783</v>
      </c>
      <c r="Q1644" s="3" t="s">
        <v>27</v>
      </c>
      <c r="R1644" s="3" t="s">
        <v>28</v>
      </c>
      <c r="S1644" s="3" t="s">
        <v>29</v>
      </c>
      <c r="T1644" s="3">
        <v>429.95</v>
      </c>
      <c r="U1644" s="3">
        <v>185.39</v>
      </c>
      <c r="V1644" s="3">
        <v>171.21</v>
      </c>
      <c r="W1644" s="3">
        <v>73.349999999999994</v>
      </c>
    </row>
    <row r="1645" spans="1:23" ht="36.75">
      <c r="A1645" s="3" t="s">
        <v>23</v>
      </c>
      <c r="B1645" s="3" t="s">
        <v>24</v>
      </c>
      <c r="C1645" s="3" t="s">
        <v>35</v>
      </c>
      <c r="D1645" s="3" t="s">
        <v>43</v>
      </c>
      <c r="E1645" s="3" t="s">
        <v>32</v>
      </c>
      <c r="F1645" s="3" t="s">
        <v>335</v>
      </c>
      <c r="G1645" s="3">
        <v>2016</v>
      </c>
      <c r="H1645" s="3" t="str">
        <f>CONCATENATE("64240661252")</f>
        <v>64240661252</v>
      </c>
      <c r="I1645" s="3" t="s">
        <v>31</v>
      </c>
      <c r="J1645" s="3" t="s">
        <v>26</v>
      </c>
      <c r="K1645" s="3" t="str">
        <f t="shared" si="55"/>
        <v/>
      </c>
      <c r="L1645" s="3" t="str">
        <f>CONCATENATE("11 11.2 4b")</f>
        <v>11 11.2 4b</v>
      </c>
      <c r="M1645" s="3" t="str">
        <f>CONCATENATE("01408070413")</f>
        <v>01408070413</v>
      </c>
      <c r="N1645" s="3" t="s">
        <v>1680</v>
      </c>
      <c r="O1645" s="3"/>
      <c r="P1645" s="4">
        <v>42783</v>
      </c>
      <c r="Q1645" s="3" t="s">
        <v>27</v>
      </c>
      <c r="R1645" s="3" t="s">
        <v>28</v>
      </c>
      <c r="S1645" s="3" t="s">
        <v>29</v>
      </c>
      <c r="T1645" s="5">
        <v>6671.61</v>
      </c>
      <c r="U1645" s="5">
        <v>2876.8</v>
      </c>
      <c r="V1645" s="5">
        <v>2656.64</v>
      </c>
      <c r="W1645" s="5">
        <v>1138.17</v>
      </c>
    </row>
    <row r="1646" spans="1:23" ht="60.75">
      <c r="A1646" s="3" t="s">
        <v>23</v>
      </c>
      <c r="B1646" s="3" t="s">
        <v>24</v>
      </c>
      <c r="C1646" s="3" t="s">
        <v>35</v>
      </c>
      <c r="D1646" s="3" t="s">
        <v>36</v>
      </c>
      <c r="E1646" s="3" t="s">
        <v>42</v>
      </c>
      <c r="F1646" s="3" t="s">
        <v>42</v>
      </c>
      <c r="G1646" s="3">
        <v>2016</v>
      </c>
      <c r="H1646" s="3" t="str">
        <f>CONCATENATE("64240862264")</f>
        <v>64240862264</v>
      </c>
      <c r="I1646" s="3" t="s">
        <v>25</v>
      </c>
      <c r="J1646" s="3" t="s">
        <v>26</v>
      </c>
      <c r="K1646" s="3" t="str">
        <f t="shared" ref="K1646:K1709" si="57">CONCATENATE("")</f>
        <v/>
      </c>
      <c r="L1646" s="3" t="str">
        <f>CONCATENATE("10 10.1 4b")</f>
        <v>10 10.1 4b</v>
      </c>
      <c r="M1646" s="3" t="str">
        <f>CONCATENATE("VTTNRC69H19F415B")</f>
        <v>VTTNRC69H19F415B</v>
      </c>
      <c r="N1646" s="3" t="s">
        <v>1681</v>
      </c>
      <c r="O1646" s="3"/>
      <c r="P1646" s="4">
        <v>42783</v>
      </c>
      <c r="Q1646" s="3" t="s">
        <v>27</v>
      </c>
      <c r="R1646" s="3" t="s">
        <v>28</v>
      </c>
      <c r="S1646" s="3" t="s">
        <v>29</v>
      </c>
      <c r="T1646" s="5">
        <v>2761.56</v>
      </c>
      <c r="U1646" s="5">
        <v>1190.78</v>
      </c>
      <c r="V1646" s="5">
        <v>1099.6500000000001</v>
      </c>
      <c r="W1646" s="3">
        <v>471.13</v>
      </c>
    </row>
    <row r="1647" spans="1:23" ht="72.75">
      <c r="A1647" s="3" t="s">
        <v>23</v>
      </c>
      <c r="B1647" s="3" t="s">
        <v>24</v>
      </c>
      <c r="C1647" s="3" t="s">
        <v>35</v>
      </c>
      <c r="D1647" s="3" t="s">
        <v>43</v>
      </c>
      <c r="E1647" s="3" t="s">
        <v>30</v>
      </c>
      <c r="F1647" s="3" t="s">
        <v>113</v>
      </c>
      <c r="G1647" s="3">
        <v>2016</v>
      </c>
      <c r="H1647" s="3" t="str">
        <f>CONCATENATE("64211061839")</f>
        <v>64211061839</v>
      </c>
      <c r="I1647" s="3" t="s">
        <v>25</v>
      </c>
      <c r="J1647" s="3" t="s">
        <v>26</v>
      </c>
      <c r="K1647" s="3" t="str">
        <f t="shared" si="57"/>
        <v/>
      </c>
      <c r="L1647" s="3" t="str">
        <f>CONCATENATE("13 13.1 4a")</f>
        <v>13 13.1 4a</v>
      </c>
      <c r="M1647" s="3" t="str">
        <f>CONCATENATE("MCORML30A12B636V")</f>
        <v>MCORML30A12B636V</v>
      </c>
      <c r="N1647" s="3" t="s">
        <v>1682</v>
      </c>
      <c r="O1647" s="3"/>
      <c r="P1647" s="4">
        <v>42783</v>
      </c>
      <c r="Q1647" s="3" t="s">
        <v>27</v>
      </c>
      <c r="R1647" s="3" t="s">
        <v>28</v>
      </c>
      <c r="S1647" s="3" t="s">
        <v>29</v>
      </c>
      <c r="T1647" s="5">
        <v>1761.17</v>
      </c>
      <c r="U1647" s="3">
        <v>759.42</v>
      </c>
      <c r="V1647" s="3">
        <v>701.3</v>
      </c>
      <c r="W1647" s="3">
        <v>300.45</v>
      </c>
    </row>
    <row r="1648" spans="1:23" ht="60.75">
      <c r="A1648" s="3" t="s">
        <v>23</v>
      </c>
      <c r="B1648" s="3" t="s">
        <v>24</v>
      </c>
      <c r="C1648" s="3" t="s">
        <v>35</v>
      </c>
      <c r="D1648" s="3" t="s">
        <v>43</v>
      </c>
      <c r="E1648" s="3" t="s">
        <v>32</v>
      </c>
      <c r="F1648" s="3" t="s">
        <v>119</v>
      </c>
      <c r="G1648" s="3">
        <v>2016</v>
      </c>
      <c r="H1648" s="3" t="str">
        <f>CONCATENATE("64240262556")</f>
        <v>64240262556</v>
      </c>
      <c r="I1648" s="3" t="s">
        <v>25</v>
      </c>
      <c r="J1648" s="3" t="s">
        <v>26</v>
      </c>
      <c r="K1648" s="3" t="str">
        <f t="shared" si="57"/>
        <v/>
      </c>
      <c r="L1648" s="3" t="str">
        <f>CONCATENATE("11 11.1 4b")</f>
        <v>11 11.1 4b</v>
      </c>
      <c r="M1648" s="3" t="str">
        <f>CONCATENATE("DLLDNC65M31G453L")</f>
        <v>DLLDNC65M31G453L</v>
      </c>
      <c r="N1648" s="3" t="s">
        <v>1683</v>
      </c>
      <c r="O1648" s="3"/>
      <c r="P1648" s="4">
        <v>42783</v>
      </c>
      <c r="Q1648" s="3" t="s">
        <v>27</v>
      </c>
      <c r="R1648" s="3" t="s">
        <v>28</v>
      </c>
      <c r="S1648" s="3" t="s">
        <v>29</v>
      </c>
      <c r="T1648" s="5">
        <v>1023.1</v>
      </c>
      <c r="U1648" s="3">
        <v>441.16</v>
      </c>
      <c r="V1648" s="3">
        <v>407.4</v>
      </c>
      <c r="W1648" s="3">
        <v>174.54</v>
      </c>
    </row>
    <row r="1649" spans="1:23" ht="60.75">
      <c r="A1649" s="3" t="s">
        <v>23</v>
      </c>
      <c r="B1649" s="3" t="s">
        <v>24</v>
      </c>
      <c r="C1649" s="3" t="s">
        <v>35</v>
      </c>
      <c r="D1649" s="3" t="s">
        <v>48</v>
      </c>
      <c r="E1649" s="3" t="s">
        <v>30</v>
      </c>
      <c r="F1649" s="3" t="s">
        <v>157</v>
      </c>
      <c r="G1649" s="3">
        <v>2016</v>
      </c>
      <c r="H1649" s="3" t="str">
        <f>CONCATENATE("64240761102")</f>
        <v>64240761102</v>
      </c>
      <c r="I1649" s="3" t="s">
        <v>25</v>
      </c>
      <c r="J1649" s="3" t="s">
        <v>26</v>
      </c>
      <c r="K1649" s="3" t="str">
        <f t="shared" si="57"/>
        <v/>
      </c>
      <c r="L1649" s="3" t="str">
        <f>CONCATENATE("11 11.1 4b")</f>
        <v>11 11.1 4b</v>
      </c>
      <c r="M1649" s="3" t="str">
        <f>CONCATENATE("SPNFNC85M51E783B")</f>
        <v>SPNFNC85M51E783B</v>
      </c>
      <c r="N1649" s="3" t="s">
        <v>1684</v>
      </c>
      <c r="O1649" s="3"/>
      <c r="P1649" s="4">
        <v>42783</v>
      </c>
      <c r="Q1649" s="3" t="s">
        <v>27</v>
      </c>
      <c r="R1649" s="3" t="s">
        <v>28</v>
      </c>
      <c r="S1649" s="3" t="s">
        <v>29</v>
      </c>
      <c r="T1649" s="5">
        <v>3518.25</v>
      </c>
      <c r="U1649" s="5">
        <v>1517.07</v>
      </c>
      <c r="V1649" s="5">
        <v>1400.97</v>
      </c>
      <c r="W1649" s="3">
        <v>600.21</v>
      </c>
    </row>
    <row r="1650" spans="1:23" ht="60.75">
      <c r="A1650" s="3" t="s">
        <v>23</v>
      </c>
      <c r="B1650" s="3" t="s">
        <v>24</v>
      </c>
      <c r="C1650" s="3" t="s">
        <v>35</v>
      </c>
      <c r="D1650" s="3" t="s">
        <v>39</v>
      </c>
      <c r="E1650" s="3" t="s">
        <v>32</v>
      </c>
      <c r="F1650" s="3" t="s">
        <v>69</v>
      </c>
      <c r="G1650" s="3">
        <v>2016</v>
      </c>
      <c r="H1650" s="3" t="str">
        <f>CONCATENATE("64240502316")</f>
        <v>64240502316</v>
      </c>
      <c r="I1650" s="3" t="s">
        <v>25</v>
      </c>
      <c r="J1650" s="3" t="s">
        <v>26</v>
      </c>
      <c r="K1650" s="3" t="str">
        <f t="shared" si="57"/>
        <v/>
      </c>
      <c r="L1650" s="3" t="str">
        <f>CONCATENATE("11 11.2 4b")</f>
        <v>11 11.2 4b</v>
      </c>
      <c r="M1650" s="3" t="str">
        <f>CONCATENATE("MGNDNC60L09I461C")</f>
        <v>MGNDNC60L09I461C</v>
      </c>
      <c r="N1650" s="3" t="s">
        <v>1685</v>
      </c>
      <c r="O1650" s="3"/>
      <c r="P1650" s="4">
        <v>42783</v>
      </c>
      <c r="Q1650" s="3" t="s">
        <v>27</v>
      </c>
      <c r="R1650" s="3" t="s">
        <v>28</v>
      </c>
      <c r="S1650" s="3" t="s">
        <v>29</v>
      </c>
      <c r="T1650" s="5">
        <v>7216.97</v>
      </c>
      <c r="U1650" s="5">
        <v>3111.96</v>
      </c>
      <c r="V1650" s="5">
        <v>2873.8</v>
      </c>
      <c r="W1650" s="5">
        <v>1231.21</v>
      </c>
    </row>
    <row r="1651" spans="1:23" ht="60.75">
      <c r="A1651" s="3" t="s">
        <v>23</v>
      </c>
      <c r="B1651" s="3" t="s">
        <v>24</v>
      </c>
      <c r="C1651" s="3" t="s">
        <v>35</v>
      </c>
      <c r="D1651" s="3" t="s">
        <v>48</v>
      </c>
      <c r="E1651" s="3" t="s">
        <v>30</v>
      </c>
      <c r="F1651" s="3" t="s">
        <v>91</v>
      </c>
      <c r="G1651" s="3">
        <v>2016</v>
      </c>
      <c r="H1651" s="3" t="str">
        <f>CONCATENATE("64240321337")</f>
        <v>64240321337</v>
      </c>
      <c r="I1651" s="3" t="s">
        <v>25</v>
      </c>
      <c r="J1651" s="3" t="s">
        <v>26</v>
      </c>
      <c r="K1651" s="3" t="str">
        <f t="shared" si="57"/>
        <v/>
      </c>
      <c r="L1651" s="3" t="str">
        <f>CONCATENATE("11 11.2 4b")</f>
        <v>11 11.2 4b</v>
      </c>
      <c r="M1651" s="3" t="str">
        <f>CONCATENATE("TRTNCL40D51C524R")</f>
        <v>TRTNCL40D51C524R</v>
      </c>
      <c r="N1651" s="3" t="s">
        <v>1686</v>
      </c>
      <c r="O1651" s="3"/>
      <c r="P1651" s="4">
        <v>42783</v>
      </c>
      <c r="Q1651" s="3" t="s">
        <v>27</v>
      </c>
      <c r="R1651" s="3" t="s">
        <v>28</v>
      </c>
      <c r="S1651" s="3" t="s">
        <v>29</v>
      </c>
      <c r="T1651" s="5">
        <v>2169.96</v>
      </c>
      <c r="U1651" s="3">
        <v>935.69</v>
      </c>
      <c r="V1651" s="3">
        <v>864.08</v>
      </c>
      <c r="W1651" s="3">
        <v>370.19</v>
      </c>
    </row>
    <row r="1652" spans="1:23" ht="60.75">
      <c r="A1652" s="3" t="s">
        <v>23</v>
      </c>
      <c r="B1652" s="3" t="s">
        <v>24</v>
      </c>
      <c r="C1652" s="3" t="s">
        <v>35</v>
      </c>
      <c r="D1652" s="3" t="s">
        <v>39</v>
      </c>
      <c r="E1652" s="3" t="s">
        <v>30</v>
      </c>
      <c r="F1652" s="3" t="s">
        <v>84</v>
      </c>
      <c r="G1652" s="3">
        <v>2016</v>
      </c>
      <c r="H1652" s="3" t="str">
        <f>CONCATENATE("64210982282")</f>
        <v>64210982282</v>
      </c>
      <c r="I1652" s="3" t="s">
        <v>25</v>
      </c>
      <c r="J1652" s="3" t="s">
        <v>26</v>
      </c>
      <c r="K1652" s="3" t="str">
        <f t="shared" si="57"/>
        <v/>
      </c>
      <c r="L1652" s="3" t="str">
        <f>CONCATENATE("13 13.1 4a")</f>
        <v>13 13.1 4a</v>
      </c>
      <c r="M1652" s="3" t="str">
        <f>CONCATENATE("RCCNTL36T23D451C")</f>
        <v>RCCNTL36T23D451C</v>
      </c>
      <c r="N1652" s="3" t="s">
        <v>1687</v>
      </c>
      <c r="O1652" s="3"/>
      <c r="P1652" s="4">
        <v>42783</v>
      </c>
      <c r="Q1652" s="3" t="s">
        <v>27</v>
      </c>
      <c r="R1652" s="3" t="s">
        <v>28</v>
      </c>
      <c r="S1652" s="3" t="s">
        <v>29</v>
      </c>
      <c r="T1652" s="5">
        <v>1864.59</v>
      </c>
      <c r="U1652" s="3">
        <v>804.01</v>
      </c>
      <c r="V1652" s="3">
        <v>742.48</v>
      </c>
      <c r="W1652" s="3">
        <v>318.10000000000002</v>
      </c>
    </row>
    <row r="1653" spans="1:23" ht="60.75">
      <c r="A1653" s="3" t="s">
        <v>23</v>
      </c>
      <c r="B1653" s="3" t="s">
        <v>24</v>
      </c>
      <c r="C1653" s="3" t="s">
        <v>35</v>
      </c>
      <c r="D1653" s="3" t="s">
        <v>48</v>
      </c>
      <c r="E1653" s="3" t="s">
        <v>49</v>
      </c>
      <c r="F1653" s="3" t="s">
        <v>50</v>
      </c>
      <c r="G1653" s="3">
        <v>2016</v>
      </c>
      <c r="H1653" s="3" t="str">
        <f>CONCATENATE("64240234019")</f>
        <v>64240234019</v>
      </c>
      <c r="I1653" s="3" t="s">
        <v>25</v>
      </c>
      <c r="J1653" s="3" t="s">
        <v>26</v>
      </c>
      <c r="K1653" s="3" t="str">
        <f t="shared" si="57"/>
        <v/>
      </c>
      <c r="L1653" s="3" t="str">
        <f>CONCATENATE("11 11.2 4b")</f>
        <v>11 11.2 4b</v>
      </c>
      <c r="M1653" s="3" t="str">
        <f>CONCATENATE("CNGGRG36P24E783M")</f>
        <v>CNGGRG36P24E783M</v>
      </c>
      <c r="N1653" s="3" t="s">
        <v>1688</v>
      </c>
      <c r="O1653" s="3"/>
      <c r="P1653" s="4">
        <v>42783</v>
      </c>
      <c r="Q1653" s="3" t="s">
        <v>27</v>
      </c>
      <c r="R1653" s="3" t="s">
        <v>28</v>
      </c>
      <c r="S1653" s="3" t="s">
        <v>29</v>
      </c>
      <c r="T1653" s="5">
        <v>2853.68</v>
      </c>
      <c r="U1653" s="5">
        <v>1230.51</v>
      </c>
      <c r="V1653" s="5">
        <v>1136.3399999999999</v>
      </c>
      <c r="W1653" s="3">
        <v>486.83</v>
      </c>
    </row>
    <row r="1654" spans="1:23" ht="36.75">
      <c r="A1654" s="3" t="s">
        <v>23</v>
      </c>
      <c r="B1654" s="3" t="s">
        <v>24</v>
      </c>
      <c r="C1654" s="3" t="s">
        <v>35</v>
      </c>
      <c r="D1654" s="3" t="s">
        <v>43</v>
      </c>
      <c r="E1654" s="3" t="s">
        <v>30</v>
      </c>
      <c r="F1654" s="3" t="s">
        <v>76</v>
      </c>
      <c r="G1654" s="3">
        <v>2016</v>
      </c>
      <c r="H1654" s="3" t="str">
        <f>CONCATENATE("64210088098")</f>
        <v>64210088098</v>
      </c>
      <c r="I1654" s="3" t="s">
        <v>25</v>
      </c>
      <c r="J1654" s="3" t="s">
        <v>26</v>
      </c>
      <c r="K1654" s="3" t="str">
        <f t="shared" si="57"/>
        <v/>
      </c>
      <c r="L1654" s="3" t="str">
        <f>CONCATENATE("13 13.1 4a")</f>
        <v>13 13.1 4a</v>
      </c>
      <c r="M1654" s="3" t="str">
        <f>CONCATENATE("00360710412")</f>
        <v>00360710412</v>
      </c>
      <c r="N1654" s="3" t="s">
        <v>600</v>
      </c>
      <c r="O1654" s="3"/>
      <c r="P1654" s="4">
        <v>42783</v>
      </c>
      <c r="Q1654" s="3" t="s">
        <v>27</v>
      </c>
      <c r="R1654" s="3" t="s">
        <v>28</v>
      </c>
      <c r="S1654" s="3" t="s">
        <v>29</v>
      </c>
      <c r="T1654" s="5">
        <v>4590</v>
      </c>
      <c r="U1654" s="5">
        <v>1979.21</v>
      </c>
      <c r="V1654" s="5">
        <v>1827.74</v>
      </c>
      <c r="W1654" s="3">
        <v>783.05</v>
      </c>
    </row>
    <row r="1655" spans="1:23" ht="36.75">
      <c r="A1655" s="3" t="s">
        <v>23</v>
      </c>
      <c r="B1655" s="3" t="s">
        <v>24</v>
      </c>
      <c r="C1655" s="3" t="s">
        <v>35</v>
      </c>
      <c r="D1655" s="3" t="s">
        <v>48</v>
      </c>
      <c r="E1655" s="3" t="s">
        <v>30</v>
      </c>
      <c r="F1655" s="3" t="s">
        <v>91</v>
      </c>
      <c r="G1655" s="3">
        <v>2016</v>
      </c>
      <c r="H1655" s="3" t="str">
        <f>CONCATENATE("64240320248")</f>
        <v>64240320248</v>
      </c>
      <c r="I1655" s="3" t="s">
        <v>31</v>
      </c>
      <c r="J1655" s="3" t="s">
        <v>26</v>
      </c>
      <c r="K1655" s="3" t="str">
        <f t="shared" si="57"/>
        <v/>
      </c>
      <c r="L1655" s="3" t="str">
        <f>CONCATENATE("11 11.2 4b")</f>
        <v>11 11.2 4b</v>
      </c>
      <c r="M1655" s="3" t="str">
        <f>CONCATENATE("01015260431")</f>
        <v>01015260431</v>
      </c>
      <c r="N1655" s="3" t="s">
        <v>176</v>
      </c>
      <c r="O1655" s="3"/>
      <c r="P1655" s="4">
        <v>42783</v>
      </c>
      <c r="Q1655" s="3" t="s">
        <v>27</v>
      </c>
      <c r="R1655" s="3" t="s">
        <v>28</v>
      </c>
      <c r="S1655" s="3" t="s">
        <v>29</v>
      </c>
      <c r="T1655" s="5">
        <v>32830.17</v>
      </c>
      <c r="U1655" s="5">
        <v>14156.37</v>
      </c>
      <c r="V1655" s="5">
        <v>13072.97</v>
      </c>
      <c r="W1655" s="5">
        <v>5600.83</v>
      </c>
    </row>
    <row r="1656" spans="1:23" ht="60.75">
      <c r="A1656" s="3" t="s">
        <v>23</v>
      </c>
      <c r="B1656" s="3" t="s">
        <v>24</v>
      </c>
      <c r="C1656" s="3" t="s">
        <v>35</v>
      </c>
      <c r="D1656" s="3" t="s">
        <v>36</v>
      </c>
      <c r="E1656" s="3" t="s">
        <v>42</v>
      </c>
      <c r="F1656" s="3" t="s">
        <v>42</v>
      </c>
      <c r="G1656" s="3">
        <v>2016</v>
      </c>
      <c r="H1656" s="3" t="str">
        <f>CONCATENATE("64240840799")</f>
        <v>64240840799</v>
      </c>
      <c r="I1656" s="3" t="s">
        <v>25</v>
      </c>
      <c r="J1656" s="3" t="s">
        <v>26</v>
      </c>
      <c r="K1656" s="3" t="str">
        <f t="shared" si="57"/>
        <v/>
      </c>
      <c r="L1656" s="3" t="str">
        <f>CONCATENATE("10 10.1 4b")</f>
        <v>10 10.1 4b</v>
      </c>
      <c r="M1656" s="3" t="str">
        <f>CONCATENATE("PZZLGU74C05H769F")</f>
        <v>PZZLGU74C05H769F</v>
      </c>
      <c r="N1656" s="3" t="s">
        <v>1689</v>
      </c>
      <c r="O1656" s="3"/>
      <c r="P1656" s="4">
        <v>42783</v>
      </c>
      <c r="Q1656" s="3" t="s">
        <v>27</v>
      </c>
      <c r="R1656" s="3" t="s">
        <v>28</v>
      </c>
      <c r="S1656" s="3" t="s">
        <v>29</v>
      </c>
      <c r="T1656" s="5">
        <v>2225.15</v>
      </c>
      <c r="U1656" s="3">
        <v>959.48</v>
      </c>
      <c r="V1656" s="3">
        <v>886.05</v>
      </c>
      <c r="W1656" s="3">
        <v>379.62</v>
      </c>
    </row>
    <row r="1657" spans="1:23" ht="60.75">
      <c r="A1657" s="3" t="s">
        <v>23</v>
      </c>
      <c r="B1657" s="3" t="s">
        <v>24</v>
      </c>
      <c r="C1657" s="3" t="s">
        <v>35</v>
      </c>
      <c r="D1657" s="3" t="s">
        <v>36</v>
      </c>
      <c r="E1657" s="3" t="s">
        <v>32</v>
      </c>
      <c r="F1657" s="3" t="s">
        <v>208</v>
      </c>
      <c r="G1657" s="3">
        <v>2016</v>
      </c>
      <c r="H1657" s="3" t="str">
        <f>CONCATENATE("64240235214")</f>
        <v>64240235214</v>
      </c>
      <c r="I1657" s="3" t="s">
        <v>25</v>
      </c>
      <c r="J1657" s="3" t="s">
        <v>26</v>
      </c>
      <c r="K1657" s="3" t="str">
        <f t="shared" si="57"/>
        <v/>
      </c>
      <c r="L1657" s="3" t="str">
        <f>CONCATENATE("11 11.2 4b")</f>
        <v>11 11.2 4b</v>
      </c>
      <c r="M1657" s="3" t="str">
        <f>CONCATENATE("CCCGNN35P18G005C")</f>
        <v>CCCGNN35P18G005C</v>
      </c>
      <c r="N1657" s="3" t="s">
        <v>886</v>
      </c>
      <c r="O1657" s="3"/>
      <c r="P1657" s="4">
        <v>42783</v>
      </c>
      <c r="Q1657" s="3" t="s">
        <v>27</v>
      </c>
      <c r="R1657" s="3" t="s">
        <v>28</v>
      </c>
      <c r="S1657" s="3" t="s">
        <v>29</v>
      </c>
      <c r="T1657" s="5">
        <v>1314.81</v>
      </c>
      <c r="U1657" s="3">
        <v>566.95000000000005</v>
      </c>
      <c r="V1657" s="3">
        <v>523.55999999999995</v>
      </c>
      <c r="W1657" s="3">
        <v>224.3</v>
      </c>
    </row>
    <row r="1658" spans="1:23" ht="60.75">
      <c r="A1658" s="3" t="s">
        <v>23</v>
      </c>
      <c r="B1658" s="3" t="s">
        <v>24</v>
      </c>
      <c r="C1658" s="3" t="s">
        <v>35</v>
      </c>
      <c r="D1658" s="3" t="s">
        <v>43</v>
      </c>
      <c r="E1658" s="3" t="s">
        <v>30</v>
      </c>
      <c r="F1658" s="3" t="s">
        <v>113</v>
      </c>
      <c r="G1658" s="3">
        <v>2016</v>
      </c>
      <c r="H1658" s="3" t="str">
        <f>CONCATENATE("64210853541")</f>
        <v>64210853541</v>
      </c>
      <c r="I1658" s="3" t="s">
        <v>25</v>
      </c>
      <c r="J1658" s="3" t="s">
        <v>26</v>
      </c>
      <c r="K1658" s="3" t="str">
        <f t="shared" si="57"/>
        <v/>
      </c>
      <c r="L1658" s="3" t="str">
        <f>CONCATENATE("13 13.1 4a")</f>
        <v>13 13.1 4a</v>
      </c>
      <c r="M1658" s="3" t="str">
        <f>CONCATENATE("CNCGST75M02B352T")</f>
        <v>CNCGST75M02B352T</v>
      </c>
      <c r="N1658" s="3" t="s">
        <v>521</v>
      </c>
      <c r="O1658" s="3"/>
      <c r="P1658" s="4">
        <v>42783</v>
      </c>
      <c r="Q1658" s="3" t="s">
        <v>27</v>
      </c>
      <c r="R1658" s="3" t="s">
        <v>28</v>
      </c>
      <c r="S1658" s="3" t="s">
        <v>29</v>
      </c>
      <c r="T1658" s="5">
        <v>4590</v>
      </c>
      <c r="U1658" s="5">
        <v>1979.21</v>
      </c>
      <c r="V1658" s="5">
        <v>1827.74</v>
      </c>
      <c r="W1658" s="3">
        <v>783.05</v>
      </c>
    </row>
    <row r="1659" spans="1:23" ht="60.75">
      <c r="A1659" s="3" t="s">
        <v>23</v>
      </c>
      <c r="B1659" s="3" t="s">
        <v>24</v>
      </c>
      <c r="C1659" s="3" t="s">
        <v>35</v>
      </c>
      <c r="D1659" s="3" t="s">
        <v>36</v>
      </c>
      <c r="E1659" s="3" t="s">
        <v>189</v>
      </c>
      <c r="F1659" s="3" t="s">
        <v>1008</v>
      </c>
      <c r="G1659" s="3">
        <v>2016</v>
      </c>
      <c r="H1659" s="3" t="str">
        <f>CONCATENATE("64211092883")</f>
        <v>64211092883</v>
      </c>
      <c r="I1659" s="3" t="s">
        <v>25</v>
      </c>
      <c r="J1659" s="3" t="s">
        <v>26</v>
      </c>
      <c r="K1659" s="3" t="str">
        <f t="shared" si="57"/>
        <v/>
      </c>
      <c r="L1659" s="3" t="str">
        <f>CONCATENATE("13 13.1 4a")</f>
        <v>13 13.1 4a</v>
      </c>
      <c r="M1659" s="3" t="str">
        <f>CONCATENATE("BNDFLC70S05A462P")</f>
        <v>BNDFLC70S05A462P</v>
      </c>
      <c r="N1659" s="3" t="s">
        <v>1690</v>
      </c>
      <c r="O1659" s="3"/>
      <c r="P1659" s="4">
        <v>42783</v>
      </c>
      <c r="Q1659" s="3" t="s">
        <v>27</v>
      </c>
      <c r="R1659" s="3" t="s">
        <v>28</v>
      </c>
      <c r="S1659" s="3" t="s">
        <v>29</v>
      </c>
      <c r="T1659" s="3">
        <v>802.66</v>
      </c>
      <c r="U1659" s="3">
        <v>346.11</v>
      </c>
      <c r="V1659" s="3">
        <v>319.62</v>
      </c>
      <c r="W1659" s="3">
        <v>136.93</v>
      </c>
    </row>
    <row r="1660" spans="1:23" ht="60.75">
      <c r="A1660" s="3" t="s">
        <v>23</v>
      </c>
      <c r="B1660" s="3" t="s">
        <v>24</v>
      </c>
      <c r="C1660" s="3" t="s">
        <v>35</v>
      </c>
      <c r="D1660" s="3" t="s">
        <v>43</v>
      </c>
      <c r="E1660" s="3" t="s">
        <v>32</v>
      </c>
      <c r="F1660" s="3" t="s">
        <v>335</v>
      </c>
      <c r="G1660" s="3">
        <v>2016</v>
      </c>
      <c r="H1660" s="3" t="str">
        <f>CONCATENATE("64240581542")</f>
        <v>64240581542</v>
      </c>
      <c r="I1660" s="3" t="s">
        <v>25</v>
      </c>
      <c r="J1660" s="3" t="s">
        <v>26</v>
      </c>
      <c r="K1660" s="3" t="str">
        <f t="shared" si="57"/>
        <v/>
      </c>
      <c r="L1660" s="3" t="str">
        <f>CONCATENATE("11 11.2 4b")</f>
        <v>11 11.2 4b</v>
      </c>
      <c r="M1660" s="3" t="str">
        <f>CONCATENATE("MBRRNG69A28F839I")</f>
        <v>MBRRNG69A28F839I</v>
      </c>
      <c r="N1660" s="3" t="s">
        <v>1691</v>
      </c>
      <c r="O1660" s="3"/>
      <c r="P1660" s="4">
        <v>42783</v>
      </c>
      <c r="Q1660" s="3" t="s">
        <v>27</v>
      </c>
      <c r="R1660" s="3" t="s">
        <v>28</v>
      </c>
      <c r="S1660" s="3" t="s">
        <v>29</v>
      </c>
      <c r="T1660" s="5">
        <v>9063.19</v>
      </c>
      <c r="U1660" s="5">
        <v>3908.05</v>
      </c>
      <c r="V1660" s="5">
        <v>3608.96</v>
      </c>
      <c r="W1660" s="5">
        <v>1546.18</v>
      </c>
    </row>
    <row r="1661" spans="1:23" ht="60.75">
      <c r="A1661" s="3" t="s">
        <v>23</v>
      </c>
      <c r="B1661" s="3" t="s">
        <v>24</v>
      </c>
      <c r="C1661" s="3" t="s">
        <v>35</v>
      </c>
      <c r="D1661" s="3" t="s">
        <v>39</v>
      </c>
      <c r="E1661" s="3" t="s">
        <v>30</v>
      </c>
      <c r="F1661" s="3" t="s">
        <v>84</v>
      </c>
      <c r="G1661" s="3">
        <v>2016</v>
      </c>
      <c r="H1661" s="3" t="str">
        <f>CONCATENATE("64240583902")</f>
        <v>64240583902</v>
      </c>
      <c r="I1661" s="3" t="s">
        <v>25</v>
      </c>
      <c r="J1661" s="3" t="s">
        <v>26</v>
      </c>
      <c r="K1661" s="3" t="str">
        <f t="shared" si="57"/>
        <v/>
      </c>
      <c r="L1661" s="3" t="str">
        <f>CONCATENATE("11 11.2 4b")</f>
        <v>11 11.2 4b</v>
      </c>
      <c r="M1661" s="3" t="str">
        <f>CONCATENATE("PRSRLL52E41D451F")</f>
        <v>PRSRLL52E41D451F</v>
      </c>
      <c r="N1661" s="3" t="s">
        <v>1372</v>
      </c>
      <c r="O1661" s="3"/>
      <c r="P1661" s="4">
        <v>42783</v>
      </c>
      <c r="Q1661" s="3" t="s">
        <v>27</v>
      </c>
      <c r="R1661" s="3" t="s">
        <v>28</v>
      </c>
      <c r="S1661" s="3" t="s">
        <v>29</v>
      </c>
      <c r="T1661" s="5">
        <v>3707.45</v>
      </c>
      <c r="U1661" s="5">
        <v>1598.65</v>
      </c>
      <c r="V1661" s="5">
        <v>1476.31</v>
      </c>
      <c r="W1661" s="3">
        <v>632.49</v>
      </c>
    </row>
    <row r="1662" spans="1:23" ht="60.75">
      <c r="A1662" s="3" t="s">
        <v>23</v>
      </c>
      <c r="B1662" s="3" t="s">
        <v>24</v>
      </c>
      <c r="C1662" s="3" t="s">
        <v>35</v>
      </c>
      <c r="D1662" s="3" t="s">
        <v>36</v>
      </c>
      <c r="E1662" s="3" t="s">
        <v>59</v>
      </c>
      <c r="F1662" s="3" t="s">
        <v>62</v>
      </c>
      <c r="G1662" s="3">
        <v>2016</v>
      </c>
      <c r="H1662" s="3" t="str">
        <f>CONCATENATE("64240915443")</f>
        <v>64240915443</v>
      </c>
      <c r="I1662" s="3" t="s">
        <v>25</v>
      </c>
      <c r="J1662" s="3" t="s">
        <v>26</v>
      </c>
      <c r="K1662" s="3" t="str">
        <f t="shared" si="57"/>
        <v/>
      </c>
      <c r="L1662" s="3" t="str">
        <f>CONCATENATE("11 11.1 4b")</f>
        <v>11 11.1 4b</v>
      </c>
      <c r="M1662" s="3" t="str">
        <f>CONCATENATE("VSIGLI69M07G920Y")</f>
        <v>VSIGLI69M07G920Y</v>
      </c>
      <c r="N1662" s="3" t="s">
        <v>1692</v>
      </c>
      <c r="O1662" s="3"/>
      <c r="P1662" s="4">
        <v>42783</v>
      </c>
      <c r="Q1662" s="3" t="s">
        <v>27</v>
      </c>
      <c r="R1662" s="3" t="s">
        <v>28</v>
      </c>
      <c r="S1662" s="3" t="s">
        <v>29</v>
      </c>
      <c r="T1662" s="5">
        <v>5920.47</v>
      </c>
      <c r="U1662" s="5">
        <v>2552.91</v>
      </c>
      <c r="V1662" s="5">
        <v>2357.5300000000002</v>
      </c>
      <c r="W1662" s="5">
        <v>1010.03</v>
      </c>
    </row>
    <row r="1663" spans="1:23" ht="60.75">
      <c r="A1663" s="3" t="s">
        <v>23</v>
      </c>
      <c r="B1663" s="3" t="s">
        <v>24</v>
      </c>
      <c r="C1663" s="3" t="s">
        <v>35</v>
      </c>
      <c r="D1663" s="3" t="s">
        <v>36</v>
      </c>
      <c r="E1663" s="3" t="s">
        <v>59</v>
      </c>
      <c r="F1663" s="3" t="s">
        <v>62</v>
      </c>
      <c r="G1663" s="3">
        <v>2016</v>
      </c>
      <c r="H1663" s="3" t="str">
        <f>CONCATENATE("64240363966")</f>
        <v>64240363966</v>
      </c>
      <c r="I1663" s="3" t="s">
        <v>25</v>
      </c>
      <c r="J1663" s="3" t="s">
        <v>26</v>
      </c>
      <c r="K1663" s="3" t="str">
        <f t="shared" si="57"/>
        <v/>
      </c>
      <c r="L1663" s="3" t="str">
        <f>CONCATENATE("11 11.2 4b")</f>
        <v>11 11.2 4b</v>
      </c>
      <c r="M1663" s="3" t="str">
        <f>CONCATENATE("VCRCRL76H12F611E")</f>
        <v>VCRCRL76H12F611E</v>
      </c>
      <c r="N1663" s="3" t="s">
        <v>1693</v>
      </c>
      <c r="O1663" s="3"/>
      <c r="P1663" s="4">
        <v>42783</v>
      </c>
      <c r="Q1663" s="3" t="s">
        <v>27</v>
      </c>
      <c r="R1663" s="3" t="s">
        <v>28</v>
      </c>
      <c r="S1663" s="3" t="s">
        <v>29</v>
      </c>
      <c r="T1663" s="5">
        <v>3937.24</v>
      </c>
      <c r="U1663" s="5">
        <v>1697.74</v>
      </c>
      <c r="V1663" s="5">
        <v>1567.81</v>
      </c>
      <c r="W1663" s="3">
        <v>671.69</v>
      </c>
    </row>
    <row r="1664" spans="1:23" ht="60.75">
      <c r="A1664" s="3" t="s">
        <v>23</v>
      </c>
      <c r="B1664" s="3" t="s">
        <v>24</v>
      </c>
      <c r="C1664" s="3" t="s">
        <v>35</v>
      </c>
      <c r="D1664" s="3" t="s">
        <v>36</v>
      </c>
      <c r="E1664" s="3" t="s">
        <v>30</v>
      </c>
      <c r="F1664" s="3" t="s">
        <v>67</v>
      </c>
      <c r="G1664" s="3">
        <v>2016</v>
      </c>
      <c r="H1664" s="3" t="str">
        <f>CONCATENATE("64240639894")</f>
        <v>64240639894</v>
      </c>
      <c r="I1664" s="3" t="s">
        <v>25</v>
      </c>
      <c r="J1664" s="3" t="s">
        <v>26</v>
      </c>
      <c r="K1664" s="3" t="str">
        <f t="shared" si="57"/>
        <v/>
      </c>
      <c r="L1664" s="3" t="str">
        <f>CONCATENATE("11 11.2 4b")</f>
        <v>11 11.2 4b</v>
      </c>
      <c r="M1664" s="3" t="str">
        <f>CONCATENATE("CCCPLA57C55G920A")</f>
        <v>CCCPLA57C55G920A</v>
      </c>
      <c r="N1664" s="3" t="s">
        <v>1694</v>
      </c>
      <c r="O1664" s="3"/>
      <c r="P1664" s="4">
        <v>42783</v>
      </c>
      <c r="Q1664" s="3" t="s">
        <v>27</v>
      </c>
      <c r="R1664" s="3" t="s">
        <v>28</v>
      </c>
      <c r="S1664" s="3" t="s">
        <v>29</v>
      </c>
      <c r="T1664" s="3">
        <v>862.02</v>
      </c>
      <c r="U1664" s="3">
        <v>371.7</v>
      </c>
      <c r="V1664" s="3">
        <v>343.26</v>
      </c>
      <c r="W1664" s="3">
        <v>147.06</v>
      </c>
    </row>
    <row r="1665" spans="1:23" ht="60.75">
      <c r="A1665" s="3" t="s">
        <v>23</v>
      </c>
      <c r="B1665" s="3" t="s">
        <v>24</v>
      </c>
      <c r="C1665" s="3" t="s">
        <v>35</v>
      </c>
      <c r="D1665" s="3" t="s">
        <v>39</v>
      </c>
      <c r="E1665" s="3" t="s">
        <v>32</v>
      </c>
      <c r="F1665" s="3" t="s">
        <v>1269</v>
      </c>
      <c r="G1665" s="3">
        <v>2016</v>
      </c>
      <c r="H1665" s="3" t="str">
        <f>CONCATENATE("64240395109")</f>
        <v>64240395109</v>
      </c>
      <c r="I1665" s="3" t="s">
        <v>25</v>
      </c>
      <c r="J1665" s="3" t="s">
        <v>26</v>
      </c>
      <c r="K1665" s="3" t="str">
        <f t="shared" si="57"/>
        <v/>
      </c>
      <c r="L1665" s="3" t="str">
        <f>CONCATENATE("11 11.2 4b")</f>
        <v>11 11.2 4b</v>
      </c>
      <c r="M1665" s="3" t="str">
        <f>CONCATENATE("BLLLRA60H41A271E")</f>
        <v>BLLLRA60H41A271E</v>
      </c>
      <c r="N1665" s="3" t="s">
        <v>1695</v>
      </c>
      <c r="O1665" s="3"/>
      <c r="P1665" s="4">
        <v>42783</v>
      </c>
      <c r="Q1665" s="3" t="s">
        <v>27</v>
      </c>
      <c r="R1665" s="3" t="s">
        <v>28</v>
      </c>
      <c r="S1665" s="3" t="s">
        <v>29</v>
      </c>
      <c r="T1665" s="3">
        <v>874.84</v>
      </c>
      <c r="U1665" s="3">
        <v>377.23</v>
      </c>
      <c r="V1665" s="3">
        <v>348.36</v>
      </c>
      <c r="W1665" s="3">
        <v>149.25</v>
      </c>
    </row>
    <row r="1666" spans="1:23" ht="60.75">
      <c r="A1666" s="3" t="s">
        <v>23</v>
      </c>
      <c r="B1666" s="3" t="s">
        <v>24</v>
      </c>
      <c r="C1666" s="3" t="s">
        <v>35</v>
      </c>
      <c r="D1666" s="3" t="s">
        <v>43</v>
      </c>
      <c r="E1666" s="3" t="s">
        <v>30</v>
      </c>
      <c r="F1666" s="3" t="s">
        <v>76</v>
      </c>
      <c r="G1666" s="3">
        <v>2016</v>
      </c>
      <c r="H1666" s="3" t="str">
        <f>CONCATENATE("64240659819")</f>
        <v>64240659819</v>
      </c>
      <c r="I1666" s="3" t="s">
        <v>25</v>
      </c>
      <c r="J1666" s="3" t="s">
        <v>26</v>
      </c>
      <c r="K1666" s="3" t="str">
        <f t="shared" si="57"/>
        <v/>
      </c>
      <c r="L1666" s="3" t="str">
        <f>CONCATENATE("11 11.2 4b")</f>
        <v>11 11.2 4b</v>
      </c>
      <c r="M1666" s="3" t="str">
        <f>CONCATENATE("MTTSMN70S19I459M")</f>
        <v>MTTSMN70S19I459M</v>
      </c>
      <c r="N1666" s="3" t="s">
        <v>1696</v>
      </c>
      <c r="O1666" s="3"/>
      <c r="P1666" s="4">
        <v>42783</v>
      </c>
      <c r="Q1666" s="3" t="s">
        <v>27</v>
      </c>
      <c r="R1666" s="3" t="s">
        <v>28</v>
      </c>
      <c r="S1666" s="3" t="s">
        <v>29</v>
      </c>
      <c r="T1666" s="5">
        <v>8302.5400000000009</v>
      </c>
      <c r="U1666" s="5">
        <v>3580.06</v>
      </c>
      <c r="V1666" s="5">
        <v>3306.07</v>
      </c>
      <c r="W1666" s="5">
        <v>1416.41</v>
      </c>
    </row>
    <row r="1667" spans="1:23" ht="36.75">
      <c r="A1667" s="3" t="s">
        <v>23</v>
      </c>
      <c r="B1667" s="3" t="s">
        <v>24</v>
      </c>
      <c r="C1667" s="3" t="s">
        <v>35</v>
      </c>
      <c r="D1667" s="3" t="s">
        <v>48</v>
      </c>
      <c r="E1667" s="3" t="s">
        <v>49</v>
      </c>
      <c r="F1667" s="3" t="s">
        <v>50</v>
      </c>
      <c r="G1667" s="3">
        <v>2016</v>
      </c>
      <c r="H1667" s="3" t="str">
        <f>CONCATENATE("64211117870")</f>
        <v>64211117870</v>
      </c>
      <c r="I1667" s="3" t="s">
        <v>25</v>
      </c>
      <c r="J1667" s="3" t="s">
        <v>26</v>
      </c>
      <c r="K1667" s="3" t="str">
        <f t="shared" si="57"/>
        <v/>
      </c>
      <c r="L1667" s="3" t="str">
        <f>CONCATENATE("13 13.1 4a")</f>
        <v>13 13.1 4a</v>
      </c>
      <c r="M1667" s="3" t="str">
        <f>CONCATENATE("01246270431")</f>
        <v>01246270431</v>
      </c>
      <c r="N1667" s="3" t="s">
        <v>1697</v>
      </c>
      <c r="O1667" s="3"/>
      <c r="P1667" s="4">
        <v>42783</v>
      </c>
      <c r="Q1667" s="3" t="s">
        <v>27</v>
      </c>
      <c r="R1667" s="3" t="s">
        <v>28</v>
      </c>
      <c r="S1667" s="3" t="s">
        <v>29</v>
      </c>
      <c r="T1667" s="5">
        <v>5076</v>
      </c>
      <c r="U1667" s="5">
        <v>2188.77</v>
      </c>
      <c r="V1667" s="5">
        <v>2021.26</v>
      </c>
      <c r="W1667" s="3">
        <v>865.97</v>
      </c>
    </row>
    <row r="1668" spans="1:23" ht="72.75">
      <c r="A1668" s="3" t="s">
        <v>23</v>
      </c>
      <c r="B1668" s="3" t="s">
        <v>24</v>
      </c>
      <c r="C1668" s="3" t="s">
        <v>35</v>
      </c>
      <c r="D1668" s="3" t="s">
        <v>39</v>
      </c>
      <c r="E1668" s="3" t="s">
        <v>34</v>
      </c>
      <c r="F1668" s="3" t="s">
        <v>170</v>
      </c>
      <c r="G1668" s="3">
        <v>2016</v>
      </c>
      <c r="H1668" s="3" t="str">
        <f>CONCATENATE("64240612644")</f>
        <v>64240612644</v>
      </c>
      <c r="I1668" s="3" t="s">
        <v>25</v>
      </c>
      <c r="J1668" s="3" t="s">
        <v>26</v>
      </c>
      <c r="K1668" s="3" t="str">
        <f t="shared" si="57"/>
        <v/>
      </c>
      <c r="L1668" s="3" t="str">
        <f>CONCATENATE("11 11.2 4b")</f>
        <v>11 11.2 4b</v>
      </c>
      <c r="M1668" s="3" t="str">
        <f>CONCATENATE("FRNNNM34H13I608R")</f>
        <v>FRNNNM34H13I608R</v>
      </c>
      <c r="N1668" s="3" t="s">
        <v>1698</v>
      </c>
      <c r="O1668" s="3"/>
      <c r="P1668" s="4">
        <v>42783</v>
      </c>
      <c r="Q1668" s="3" t="s">
        <v>27</v>
      </c>
      <c r="R1668" s="3" t="s">
        <v>28</v>
      </c>
      <c r="S1668" s="3" t="s">
        <v>29</v>
      </c>
      <c r="T1668" s="5">
        <v>1775.27</v>
      </c>
      <c r="U1668" s="3">
        <v>765.5</v>
      </c>
      <c r="V1668" s="3">
        <v>706.91</v>
      </c>
      <c r="W1668" s="3">
        <v>302.86</v>
      </c>
    </row>
    <row r="1669" spans="1:23" ht="36.75">
      <c r="A1669" s="3" t="s">
        <v>23</v>
      </c>
      <c r="B1669" s="3" t="s">
        <v>24</v>
      </c>
      <c r="C1669" s="3" t="s">
        <v>35</v>
      </c>
      <c r="D1669" s="3" t="s">
        <v>48</v>
      </c>
      <c r="E1669" s="3" t="s">
        <v>32</v>
      </c>
      <c r="F1669" s="3" t="s">
        <v>129</v>
      </c>
      <c r="G1669" s="3">
        <v>2016</v>
      </c>
      <c r="H1669" s="3" t="str">
        <f>CONCATENATE("64240727319")</f>
        <v>64240727319</v>
      </c>
      <c r="I1669" s="3" t="s">
        <v>25</v>
      </c>
      <c r="J1669" s="3" t="s">
        <v>26</v>
      </c>
      <c r="K1669" s="3" t="str">
        <f t="shared" si="57"/>
        <v/>
      </c>
      <c r="L1669" s="3" t="str">
        <f>CONCATENATE("11 11.2 4b")</f>
        <v>11 11.2 4b</v>
      </c>
      <c r="M1669" s="3" t="str">
        <f>CONCATENATE("01611940436")</f>
        <v>01611940436</v>
      </c>
      <c r="N1669" s="3" t="s">
        <v>1699</v>
      </c>
      <c r="O1669" s="3"/>
      <c r="P1669" s="4">
        <v>42783</v>
      </c>
      <c r="Q1669" s="3" t="s">
        <v>27</v>
      </c>
      <c r="R1669" s="3" t="s">
        <v>28</v>
      </c>
      <c r="S1669" s="3" t="s">
        <v>29</v>
      </c>
      <c r="T1669" s="5">
        <v>11372.26</v>
      </c>
      <c r="U1669" s="5">
        <v>4903.72</v>
      </c>
      <c r="V1669" s="5">
        <v>4528.43</v>
      </c>
      <c r="W1669" s="5">
        <v>1940.11</v>
      </c>
    </row>
    <row r="1670" spans="1:23" ht="72.75">
      <c r="A1670" s="3" t="s">
        <v>23</v>
      </c>
      <c r="B1670" s="3" t="s">
        <v>24</v>
      </c>
      <c r="C1670" s="3" t="s">
        <v>35</v>
      </c>
      <c r="D1670" s="3" t="s">
        <v>36</v>
      </c>
      <c r="E1670" s="3" t="s">
        <v>30</v>
      </c>
      <c r="F1670" s="3" t="s">
        <v>86</v>
      </c>
      <c r="G1670" s="3">
        <v>2016</v>
      </c>
      <c r="H1670" s="3" t="str">
        <f>CONCATENATE("64240730644")</f>
        <v>64240730644</v>
      </c>
      <c r="I1670" s="3" t="s">
        <v>25</v>
      </c>
      <c r="J1670" s="3" t="s">
        <v>26</v>
      </c>
      <c r="K1670" s="3" t="str">
        <f t="shared" si="57"/>
        <v/>
      </c>
      <c r="L1670" s="3" t="str">
        <f>CONCATENATE("11 11.2 4b")</f>
        <v>11 11.2 4b</v>
      </c>
      <c r="M1670" s="3" t="str">
        <f>CONCATENATE("MRACMN73B07A462W")</f>
        <v>MRACMN73B07A462W</v>
      </c>
      <c r="N1670" s="3" t="s">
        <v>178</v>
      </c>
      <c r="O1670" s="3"/>
      <c r="P1670" s="4">
        <v>42783</v>
      </c>
      <c r="Q1670" s="3" t="s">
        <v>27</v>
      </c>
      <c r="R1670" s="3" t="s">
        <v>28</v>
      </c>
      <c r="S1670" s="3" t="s">
        <v>29</v>
      </c>
      <c r="T1670" s="5">
        <v>3350.11</v>
      </c>
      <c r="U1670" s="5">
        <v>1444.57</v>
      </c>
      <c r="V1670" s="5">
        <v>1334.01</v>
      </c>
      <c r="W1670" s="3">
        <v>571.53</v>
      </c>
    </row>
    <row r="1671" spans="1:23" ht="36.75">
      <c r="A1671" s="3" t="s">
        <v>23</v>
      </c>
      <c r="B1671" s="3" t="s">
        <v>24</v>
      </c>
      <c r="C1671" s="3" t="s">
        <v>35</v>
      </c>
      <c r="D1671" s="3" t="s">
        <v>43</v>
      </c>
      <c r="E1671" s="3" t="s">
        <v>32</v>
      </c>
      <c r="F1671" s="3" t="s">
        <v>335</v>
      </c>
      <c r="G1671" s="3">
        <v>2016</v>
      </c>
      <c r="H1671" s="3" t="str">
        <f>CONCATENATE("64210630766")</f>
        <v>64210630766</v>
      </c>
      <c r="I1671" s="3" t="s">
        <v>31</v>
      </c>
      <c r="J1671" s="3" t="s">
        <v>26</v>
      </c>
      <c r="K1671" s="3" t="str">
        <f t="shared" si="57"/>
        <v/>
      </c>
      <c r="L1671" s="3" t="str">
        <f>CONCATENATE("13 13.1 4a")</f>
        <v>13 13.1 4a</v>
      </c>
      <c r="M1671" s="3" t="str">
        <f>CONCATENATE("01408070413")</f>
        <v>01408070413</v>
      </c>
      <c r="N1671" s="3" t="s">
        <v>1680</v>
      </c>
      <c r="O1671" s="3"/>
      <c r="P1671" s="4">
        <v>42783</v>
      </c>
      <c r="Q1671" s="3" t="s">
        <v>27</v>
      </c>
      <c r="R1671" s="3" t="s">
        <v>28</v>
      </c>
      <c r="S1671" s="3" t="s">
        <v>29</v>
      </c>
      <c r="T1671" s="5">
        <v>4197.26</v>
      </c>
      <c r="U1671" s="5">
        <v>1809.86</v>
      </c>
      <c r="V1671" s="5">
        <v>1671.35</v>
      </c>
      <c r="W1671" s="3">
        <v>716.05</v>
      </c>
    </row>
    <row r="1672" spans="1:23" ht="60.75">
      <c r="A1672" s="3" t="s">
        <v>23</v>
      </c>
      <c r="B1672" s="3" t="s">
        <v>24</v>
      </c>
      <c r="C1672" s="3" t="s">
        <v>35</v>
      </c>
      <c r="D1672" s="3" t="s">
        <v>48</v>
      </c>
      <c r="E1672" s="3" t="s">
        <v>49</v>
      </c>
      <c r="F1672" s="3" t="s">
        <v>74</v>
      </c>
      <c r="G1672" s="3">
        <v>2016</v>
      </c>
      <c r="H1672" s="3" t="str">
        <f>CONCATENATE("64240260501")</f>
        <v>64240260501</v>
      </c>
      <c r="I1672" s="3" t="s">
        <v>25</v>
      </c>
      <c r="J1672" s="3" t="s">
        <v>26</v>
      </c>
      <c r="K1672" s="3" t="str">
        <f t="shared" si="57"/>
        <v/>
      </c>
      <c r="L1672" s="3" t="str">
        <f>CONCATENATE("11 11.1 4b")</f>
        <v>11 11.1 4b</v>
      </c>
      <c r="M1672" s="3" t="str">
        <f>CONCATENATE("SPTNRC76E27F051W")</f>
        <v>SPTNRC76E27F051W</v>
      </c>
      <c r="N1672" s="3" t="s">
        <v>1700</v>
      </c>
      <c r="O1672" s="3"/>
      <c r="P1672" s="4">
        <v>42783</v>
      </c>
      <c r="Q1672" s="3" t="s">
        <v>27</v>
      </c>
      <c r="R1672" s="3" t="s">
        <v>28</v>
      </c>
      <c r="S1672" s="3" t="s">
        <v>29</v>
      </c>
      <c r="T1672" s="5">
        <v>2395.6999999999998</v>
      </c>
      <c r="U1672" s="5">
        <v>1033.03</v>
      </c>
      <c r="V1672" s="3">
        <v>953.97</v>
      </c>
      <c r="W1672" s="3">
        <v>408.7</v>
      </c>
    </row>
    <row r="1673" spans="1:23" ht="60.75">
      <c r="A1673" s="3" t="s">
        <v>23</v>
      </c>
      <c r="B1673" s="3" t="s">
        <v>24</v>
      </c>
      <c r="C1673" s="3" t="s">
        <v>35</v>
      </c>
      <c r="D1673" s="3" t="s">
        <v>48</v>
      </c>
      <c r="E1673" s="3" t="s">
        <v>30</v>
      </c>
      <c r="F1673" s="3" t="s">
        <v>55</v>
      </c>
      <c r="G1673" s="3">
        <v>2016</v>
      </c>
      <c r="H1673" s="3" t="str">
        <f>CONCATENATE("64240723391")</f>
        <v>64240723391</v>
      </c>
      <c r="I1673" s="3" t="s">
        <v>25</v>
      </c>
      <c r="J1673" s="3" t="s">
        <v>26</v>
      </c>
      <c r="K1673" s="3" t="str">
        <f t="shared" si="57"/>
        <v/>
      </c>
      <c r="L1673" s="3" t="str">
        <f>CONCATENATE("11 11.2 4b")</f>
        <v>11 11.2 4b</v>
      </c>
      <c r="M1673" s="3" t="str">
        <f>CONCATENATE("MRRFBA63C07C770L")</f>
        <v>MRRFBA63C07C770L</v>
      </c>
      <c r="N1673" s="3" t="s">
        <v>1701</v>
      </c>
      <c r="O1673" s="3"/>
      <c r="P1673" s="4">
        <v>42783</v>
      </c>
      <c r="Q1673" s="3" t="s">
        <v>27</v>
      </c>
      <c r="R1673" s="3" t="s">
        <v>28</v>
      </c>
      <c r="S1673" s="3" t="s">
        <v>29</v>
      </c>
      <c r="T1673" s="5">
        <v>1096.52</v>
      </c>
      <c r="U1673" s="3">
        <v>472.82</v>
      </c>
      <c r="V1673" s="3">
        <v>436.63</v>
      </c>
      <c r="W1673" s="3">
        <v>187.07</v>
      </c>
    </row>
    <row r="1674" spans="1:23" ht="36.75">
      <c r="A1674" s="3" t="s">
        <v>23</v>
      </c>
      <c r="B1674" s="3" t="s">
        <v>24</v>
      </c>
      <c r="C1674" s="3" t="s">
        <v>35</v>
      </c>
      <c r="D1674" s="3" t="s">
        <v>39</v>
      </c>
      <c r="E1674" s="3" t="s">
        <v>34</v>
      </c>
      <c r="F1674" s="3" t="s">
        <v>170</v>
      </c>
      <c r="G1674" s="3">
        <v>2016</v>
      </c>
      <c r="H1674" s="3" t="str">
        <f>CONCATENATE("64240816799")</f>
        <v>64240816799</v>
      </c>
      <c r="I1674" s="3" t="s">
        <v>31</v>
      </c>
      <c r="J1674" s="3" t="s">
        <v>26</v>
      </c>
      <c r="K1674" s="3" t="str">
        <f t="shared" si="57"/>
        <v/>
      </c>
      <c r="L1674" s="3" t="str">
        <f>CONCATENATE("11 11.2 4b")</f>
        <v>11 11.2 4b</v>
      </c>
      <c r="M1674" s="3" t="str">
        <f>CONCATENATE("00382520427")</f>
        <v>00382520427</v>
      </c>
      <c r="N1674" s="3" t="s">
        <v>1702</v>
      </c>
      <c r="O1674" s="3"/>
      <c r="P1674" s="4">
        <v>42783</v>
      </c>
      <c r="Q1674" s="3" t="s">
        <v>27</v>
      </c>
      <c r="R1674" s="3" t="s">
        <v>28</v>
      </c>
      <c r="S1674" s="3" t="s">
        <v>29</v>
      </c>
      <c r="T1674" s="5">
        <v>5169.6899999999996</v>
      </c>
      <c r="U1674" s="5">
        <v>2229.17</v>
      </c>
      <c r="V1674" s="5">
        <v>2058.5700000000002</v>
      </c>
      <c r="W1674" s="3">
        <v>881.95</v>
      </c>
    </row>
    <row r="1675" spans="1:23" ht="60.75">
      <c r="A1675" s="3" t="s">
        <v>23</v>
      </c>
      <c r="B1675" s="3" t="s">
        <v>24</v>
      </c>
      <c r="C1675" s="3" t="s">
        <v>35</v>
      </c>
      <c r="D1675" s="3" t="s">
        <v>48</v>
      </c>
      <c r="E1675" s="3" t="s">
        <v>30</v>
      </c>
      <c r="F1675" s="3" t="s">
        <v>91</v>
      </c>
      <c r="G1675" s="3">
        <v>2016</v>
      </c>
      <c r="H1675" s="3" t="str">
        <f>CONCATENATE("64240209409")</f>
        <v>64240209409</v>
      </c>
      <c r="I1675" s="3" t="s">
        <v>25</v>
      </c>
      <c r="J1675" s="3" t="s">
        <v>26</v>
      </c>
      <c r="K1675" s="3" t="str">
        <f t="shared" si="57"/>
        <v/>
      </c>
      <c r="L1675" s="3" t="str">
        <f>CONCATENATE("11 11.1 4b")</f>
        <v>11 11.1 4b</v>
      </c>
      <c r="M1675" s="3" t="str">
        <f>CONCATENATE("DLCFNC50E11F051G")</f>
        <v>DLCFNC50E11F051G</v>
      </c>
      <c r="N1675" s="3" t="s">
        <v>1703</v>
      </c>
      <c r="O1675" s="3"/>
      <c r="P1675" s="4">
        <v>42783</v>
      </c>
      <c r="Q1675" s="3" t="s">
        <v>27</v>
      </c>
      <c r="R1675" s="3" t="s">
        <v>28</v>
      </c>
      <c r="S1675" s="3" t="s">
        <v>29</v>
      </c>
      <c r="T1675" s="5">
        <v>3421.4</v>
      </c>
      <c r="U1675" s="5">
        <v>1475.31</v>
      </c>
      <c r="V1675" s="5">
        <v>1362.4</v>
      </c>
      <c r="W1675" s="3">
        <v>583.69000000000005</v>
      </c>
    </row>
    <row r="1676" spans="1:23" ht="60.75">
      <c r="A1676" s="3" t="s">
        <v>23</v>
      </c>
      <c r="B1676" s="3" t="s">
        <v>24</v>
      </c>
      <c r="C1676" s="3" t="s">
        <v>35</v>
      </c>
      <c r="D1676" s="3" t="s">
        <v>48</v>
      </c>
      <c r="E1676" s="3" t="s">
        <v>49</v>
      </c>
      <c r="F1676" s="3" t="s">
        <v>50</v>
      </c>
      <c r="G1676" s="3">
        <v>2016</v>
      </c>
      <c r="H1676" s="3" t="str">
        <f>CONCATENATE("64240354023")</f>
        <v>64240354023</v>
      </c>
      <c r="I1676" s="3" t="s">
        <v>25</v>
      </c>
      <c r="J1676" s="3" t="s">
        <v>26</v>
      </c>
      <c r="K1676" s="3" t="str">
        <f t="shared" si="57"/>
        <v/>
      </c>
      <c r="L1676" s="3" t="str">
        <f>CONCATENATE("11 11.2 4b")</f>
        <v>11 11.2 4b</v>
      </c>
      <c r="M1676" s="3" t="str">
        <f>CONCATENATE("LRINTN48E17F567J")</f>
        <v>LRINTN48E17F567J</v>
      </c>
      <c r="N1676" s="3" t="s">
        <v>1704</v>
      </c>
      <c r="O1676" s="3"/>
      <c r="P1676" s="4">
        <v>42783</v>
      </c>
      <c r="Q1676" s="3" t="s">
        <v>27</v>
      </c>
      <c r="R1676" s="3" t="s">
        <v>28</v>
      </c>
      <c r="S1676" s="3" t="s">
        <v>29</v>
      </c>
      <c r="T1676" s="5">
        <v>2757.94</v>
      </c>
      <c r="U1676" s="5">
        <v>1189.22</v>
      </c>
      <c r="V1676" s="5">
        <v>1098.21</v>
      </c>
      <c r="W1676" s="3">
        <v>470.51</v>
      </c>
    </row>
    <row r="1677" spans="1:23" ht="36.75">
      <c r="A1677" s="3" t="s">
        <v>23</v>
      </c>
      <c r="B1677" s="3" t="s">
        <v>24</v>
      </c>
      <c r="C1677" s="3" t="s">
        <v>35</v>
      </c>
      <c r="D1677" s="3" t="s">
        <v>36</v>
      </c>
      <c r="E1677" s="3" t="s">
        <v>33</v>
      </c>
      <c r="F1677" s="3" t="s">
        <v>89</v>
      </c>
      <c r="G1677" s="3">
        <v>2016</v>
      </c>
      <c r="H1677" s="3" t="str">
        <f>CONCATENATE("64210533374")</f>
        <v>64210533374</v>
      </c>
      <c r="I1677" s="3" t="s">
        <v>25</v>
      </c>
      <c r="J1677" s="3" t="s">
        <v>26</v>
      </c>
      <c r="K1677" s="3" t="str">
        <f t="shared" si="57"/>
        <v/>
      </c>
      <c r="L1677" s="3" t="str">
        <f>CONCATENATE("13 13.1 4a")</f>
        <v>13 13.1 4a</v>
      </c>
      <c r="M1677" s="3" t="str">
        <f>CONCATENATE("00775820442")</f>
        <v>00775820442</v>
      </c>
      <c r="N1677" s="3" t="s">
        <v>1705</v>
      </c>
      <c r="O1677" s="3"/>
      <c r="P1677" s="4">
        <v>42783</v>
      </c>
      <c r="Q1677" s="3" t="s">
        <v>27</v>
      </c>
      <c r="R1677" s="3" t="s">
        <v>28</v>
      </c>
      <c r="S1677" s="3" t="s">
        <v>29</v>
      </c>
      <c r="T1677" s="5">
        <v>2729.91</v>
      </c>
      <c r="U1677" s="5">
        <v>1177.1400000000001</v>
      </c>
      <c r="V1677" s="5">
        <v>1087.05</v>
      </c>
      <c r="W1677" s="3">
        <v>465.72</v>
      </c>
    </row>
    <row r="1678" spans="1:23" ht="72.75">
      <c r="A1678" s="3" t="s">
        <v>23</v>
      </c>
      <c r="B1678" s="3" t="s">
        <v>24</v>
      </c>
      <c r="C1678" s="3" t="s">
        <v>35</v>
      </c>
      <c r="D1678" s="3" t="s">
        <v>39</v>
      </c>
      <c r="E1678" s="3" t="s">
        <v>30</v>
      </c>
      <c r="F1678" s="3" t="s">
        <v>84</v>
      </c>
      <c r="G1678" s="3">
        <v>2016</v>
      </c>
      <c r="H1678" s="3" t="str">
        <f>CONCATENATE("64240716643")</f>
        <v>64240716643</v>
      </c>
      <c r="I1678" s="3" t="s">
        <v>25</v>
      </c>
      <c r="J1678" s="3" t="s">
        <v>26</v>
      </c>
      <c r="K1678" s="3" t="str">
        <f t="shared" si="57"/>
        <v/>
      </c>
      <c r="L1678" s="3" t="str">
        <f>CONCATENATE("11 11.2 4b")</f>
        <v>11 11.2 4b</v>
      </c>
      <c r="M1678" s="3" t="str">
        <f>CONCATENATE("RGGRLD45M02D451D")</f>
        <v>RGGRLD45M02D451D</v>
      </c>
      <c r="N1678" s="3" t="s">
        <v>434</v>
      </c>
      <c r="O1678" s="3"/>
      <c r="P1678" s="4">
        <v>42783</v>
      </c>
      <c r="Q1678" s="3" t="s">
        <v>27</v>
      </c>
      <c r="R1678" s="3" t="s">
        <v>28</v>
      </c>
      <c r="S1678" s="3" t="s">
        <v>29</v>
      </c>
      <c r="T1678" s="5">
        <v>9874.98</v>
      </c>
      <c r="U1678" s="5">
        <v>4258.09</v>
      </c>
      <c r="V1678" s="5">
        <v>3932.22</v>
      </c>
      <c r="W1678" s="5">
        <v>1684.67</v>
      </c>
    </row>
    <row r="1679" spans="1:23" ht="60.75">
      <c r="A1679" s="3" t="s">
        <v>23</v>
      </c>
      <c r="B1679" s="3" t="s">
        <v>24</v>
      </c>
      <c r="C1679" s="3" t="s">
        <v>35</v>
      </c>
      <c r="D1679" s="3" t="s">
        <v>43</v>
      </c>
      <c r="E1679" s="3" t="s">
        <v>30</v>
      </c>
      <c r="F1679" s="3" t="s">
        <v>113</v>
      </c>
      <c r="G1679" s="3">
        <v>2016</v>
      </c>
      <c r="H1679" s="3" t="str">
        <f>CONCATENATE("64240766077")</f>
        <v>64240766077</v>
      </c>
      <c r="I1679" s="3" t="s">
        <v>25</v>
      </c>
      <c r="J1679" s="3" t="s">
        <v>26</v>
      </c>
      <c r="K1679" s="3" t="str">
        <f t="shared" si="57"/>
        <v/>
      </c>
      <c r="L1679" s="3" t="str">
        <f>CONCATENATE("11 11.1 4b")</f>
        <v>11 11.1 4b</v>
      </c>
      <c r="M1679" s="3" t="str">
        <f>CONCATENATE("LNESFN65P30L498P")</f>
        <v>LNESFN65P30L498P</v>
      </c>
      <c r="N1679" s="3" t="s">
        <v>1094</v>
      </c>
      <c r="O1679" s="3"/>
      <c r="P1679" s="4">
        <v>42783</v>
      </c>
      <c r="Q1679" s="3" t="s">
        <v>27</v>
      </c>
      <c r="R1679" s="3" t="s">
        <v>28</v>
      </c>
      <c r="S1679" s="3" t="s">
        <v>29</v>
      </c>
      <c r="T1679" s="5">
        <v>2799.43</v>
      </c>
      <c r="U1679" s="5">
        <v>1207.1099999999999</v>
      </c>
      <c r="V1679" s="5">
        <v>1114.73</v>
      </c>
      <c r="W1679" s="3">
        <v>477.59</v>
      </c>
    </row>
    <row r="1680" spans="1:23" ht="60.75">
      <c r="A1680" s="3" t="s">
        <v>23</v>
      </c>
      <c r="B1680" s="3" t="s">
        <v>24</v>
      </c>
      <c r="C1680" s="3" t="s">
        <v>35</v>
      </c>
      <c r="D1680" s="3" t="s">
        <v>43</v>
      </c>
      <c r="E1680" s="3" t="s">
        <v>32</v>
      </c>
      <c r="F1680" s="3" t="s">
        <v>119</v>
      </c>
      <c r="G1680" s="3">
        <v>2016</v>
      </c>
      <c r="H1680" s="3" t="str">
        <f>CONCATENATE("64240540878")</f>
        <v>64240540878</v>
      </c>
      <c r="I1680" s="3" t="s">
        <v>25</v>
      </c>
      <c r="J1680" s="3" t="s">
        <v>26</v>
      </c>
      <c r="K1680" s="3" t="str">
        <f t="shared" si="57"/>
        <v/>
      </c>
      <c r="L1680" s="3" t="str">
        <f>CONCATENATE("11 11.1 4b")</f>
        <v>11 11.1 4b</v>
      </c>
      <c r="M1680" s="3" t="str">
        <f>CONCATENATE("SCTMDL76L71F205L")</f>
        <v>SCTMDL76L71F205L</v>
      </c>
      <c r="N1680" s="3" t="s">
        <v>1706</v>
      </c>
      <c r="O1680" s="3"/>
      <c r="P1680" s="4">
        <v>42783</v>
      </c>
      <c r="Q1680" s="3" t="s">
        <v>27</v>
      </c>
      <c r="R1680" s="3" t="s">
        <v>28</v>
      </c>
      <c r="S1680" s="3" t="s">
        <v>29</v>
      </c>
      <c r="T1680" s="5">
        <v>4534.8100000000004</v>
      </c>
      <c r="U1680" s="5">
        <v>1955.41</v>
      </c>
      <c r="V1680" s="5">
        <v>1805.76</v>
      </c>
      <c r="W1680" s="3">
        <v>773.64</v>
      </c>
    </row>
    <row r="1681" spans="1:23" ht="60.75">
      <c r="A1681" s="3" t="s">
        <v>23</v>
      </c>
      <c r="B1681" s="3" t="s">
        <v>24</v>
      </c>
      <c r="C1681" s="3" t="s">
        <v>35</v>
      </c>
      <c r="D1681" s="3" t="s">
        <v>43</v>
      </c>
      <c r="E1681" s="3" t="s">
        <v>30</v>
      </c>
      <c r="F1681" s="3" t="s">
        <v>104</v>
      </c>
      <c r="G1681" s="3">
        <v>2016</v>
      </c>
      <c r="H1681" s="3" t="str">
        <f>CONCATENATE("64240244638")</f>
        <v>64240244638</v>
      </c>
      <c r="I1681" s="3" t="s">
        <v>25</v>
      </c>
      <c r="J1681" s="3" t="s">
        <v>26</v>
      </c>
      <c r="K1681" s="3" t="str">
        <f t="shared" si="57"/>
        <v/>
      </c>
      <c r="L1681" s="3" t="str">
        <f>CONCATENATE("11 11.2 4b")</f>
        <v>11 11.2 4b</v>
      </c>
      <c r="M1681" s="3" t="str">
        <f>CONCATENATE("MNTMRC57S07L500L")</f>
        <v>MNTMRC57S07L500L</v>
      </c>
      <c r="N1681" s="3" t="s">
        <v>1707</v>
      </c>
      <c r="O1681" s="3"/>
      <c r="P1681" s="4">
        <v>42783</v>
      </c>
      <c r="Q1681" s="3" t="s">
        <v>27</v>
      </c>
      <c r="R1681" s="3" t="s">
        <v>28</v>
      </c>
      <c r="S1681" s="3" t="s">
        <v>29</v>
      </c>
      <c r="T1681" s="5">
        <v>1808.09</v>
      </c>
      <c r="U1681" s="3">
        <v>779.65</v>
      </c>
      <c r="V1681" s="3">
        <v>719.98</v>
      </c>
      <c r="W1681" s="3">
        <v>308.45999999999998</v>
      </c>
    </row>
    <row r="1682" spans="1:23" ht="72.75">
      <c r="A1682" s="3" t="s">
        <v>23</v>
      </c>
      <c r="B1682" s="3" t="s">
        <v>24</v>
      </c>
      <c r="C1682" s="3" t="s">
        <v>35</v>
      </c>
      <c r="D1682" s="3" t="s">
        <v>48</v>
      </c>
      <c r="E1682" s="3" t="s">
        <v>30</v>
      </c>
      <c r="F1682" s="3" t="s">
        <v>91</v>
      </c>
      <c r="G1682" s="3">
        <v>2016</v>
      </c>
      <c r="H1682" s="3" t="str">
        <f>CONCATENATE("64210589079")</f>
        <v>64210589079</v>
      </c>
      <c r="I1682" s="3" t="s">
        <v>25</v>
      </c>
      <c r="J1682" s="3" t="s">
        <v>26</v>
      </c>
      <c r="K1682" s="3" t="str">
        <f t="shared" si="57"/>
        <v/>
      </c>
      <c r="L1682" s="3" t="str">
        <f>CONCATENATE("13 13.1 4a")</f>
        <v>13 13.1 4a</v>
      </c>
      <c r="M1682" s="3" t="str">
        <f>CONCATENATE("PZZGMR47B21B474G")</f>
        <v>PZZGMR47B21B474G</v>
      </c>
      <c r="N1682" s="3" t="s">
        <v>1708</v>
      </c>
      <c r="O1682" s="3"/>
      <c r="P1682" s="4">
        <v>42783</v>
      </c>
      <c r="Q1682" s="3" t="s">
        <v>27</v>
      </c>
      <c r="R1682" s="3" t="s">
        <v>28</v>
      </c>
      <c r="S1682" s="3" t="s">
        <v>29</v>
      </c>
      <c r="T1682" s="5">
        <v>4590</v>
      </c>
      <c r="U1682" s="5">
        <v>1979.21</v>
      </c>
      <c r="V1682" s="5">
        <v>1827.74</v>
      </c>
      <c r="W1682" s="3">
        <v>783.05</v>
      </c>
    </row>
    <row r="1683" spans="1:23" ht="72.75">
      <c r="A1683" s="3" t="s">
        <v>23</v>
      </c>
      <c r="B1683" s="3" t="s">
        <v>24</v>
      </c>
      <c r="C1683" s="3" t="s">
        <v>35</v>
      </c>
      <c r="D1683" s="3" t="s">
        <v>39</v>
      </c>
      <c r="E1683" s="3" t="s">
        <v>30</v>
      </c>
      <c r="F1683" s="3" t="s">
        <v>84</v>
      </c>
      <c r="G1683" s="3">
        <v>2016</v>
      </c>
      <c r="H1683" s="3" t="str">
        <f>CONCATENATE("64210982670")</f>
        <v>64210982670</v>
      </c>
      <c r="I1683" s="3" t="s">
        <v>25</v>
      </c>
      <c r="J1683" s="3" t="s">
        <v>26</v>
      </c>
      <c r="K1683" s="3" t="str">
        <f t="shared" si="57"/>
        <v/>
      </c>
      <c r="L1683" s="3" t="str">
        <f>CONCATENATE("13 13.1 4a")</f>
        <v>13 13.1 4a</v>
      </c>
      <c r="M1683" s="3" t="str">
        <f>CONCATENATE("SBFSDR65H20D451V")</f>
        <v>SBFSDR65H20D451V</v>
      </c>
      <c r="N1683" s="3" t="s">
        <v>1709</v>
      </c>
      <c r="O1683" s="3"/>
      <c r="P1683" s="4">
        <v>42783</v>
      </c>
      <c r="Q1683" s="3" t="s">
        <v>27</v>
      </c>
      <c r="R1683" s="3" t="s">
        <v>28</v>
      </c>
      <c r="S1683" s="3" t="s">
        <v>29</v>
      </c>
      <c r="T1683" s="3">
        <v>899.94</v>
      </c>
      <c r="U1683" s="3">
        <v>388.05</v>
      </c>
      <c r="V1683" s="3">
        <v>358.36</v>
      </c>
      <c r="W1683" s="3">
        <v>153.53</v>
      </c>
    </row>
    <row r="1684" spans="1:23" ht="72.75">
      <c r="A1684" s="3" t="s">
        <v>23</v>
      </c>
      <c r="B1684" s="3" t="s">
        <v>24</v>
      </c>
      <c r="C1684" s="3" t="s">
        <v>35</v>
      </c>
      <c r="D1684" s="3" t="s">
        <v>39</v>
      </c>
      <c r="E1684" s="3" t="s">
        <v>32</v>
      </c>
      <c r="F1684" s="3" t="s">
        <v>215</v>
      </c>
      <c r="G1684" s="3">
        <v>2016</v>
      </c>
      <c r="H1684" s="3" t="str">
        <f>CONCATENATE("64240225371")</f>
        <v>64240225371</v>
      </c>
      <c r="I1684" s="3" t="s">
        <v>25</v>
      </c>
      <c r="J1684" s="3" t="s">
        <v>26</v>
      </c>
      <c r="K1684" s="3" t="str">
        <f t="shared" si="57"/>
        <v/>
      </c>
      <c r="L1684" s="3" t="str">
        <f>CONCATENATE("11 11.2 4b")</f>
        <v>11 11.2 4b</v>
      </c>
      <c r="M1684" s="3" t="str">
        <f>CONCATENATE("FCIMSM63S28D150A")</f>
        <v>FCIMSM63S28D150A</v>
      </c>
      <c r="N1684" s="3" t="s">
        <v>1710</v>
      </c>
      <c r="O1684" s="3"/>
      <c r="P1684" s="4">
        <v>42783</v>
      </c>
      <c r="Q1684" s="3" t="s">
        <v>27</v>
      </c>
      <c r="R1684" s="3" t="s">
        <v>28</v>
      </c>
      <c r="S1684" s="3" t="s">
        <v>29</v>
      </c>
      <c r="T1684" s="5">
        <v>2048.77</v>
      </c>
      <c r="U1684" s="3">
        <v>883.43</v>
      </c>
      <c r="V1684" s="3">
        <v>815.82</v>
      </c>
      <c r="W1684" s="3">
        <v>349.52</v>
      </c>
    </row>
    <row r="1685" spans="1:23" ht="72.75">
      <c r="A1685" s="3" t="s">
        <v>23</v>
      </c>
      <c r="B1685" s="3" t="s">
        <v>24</v>
      </c>
      <c r="C1685" s="3" t="s">
        <v>35</v>
      </c>
      <c r="D1685" s="3" t="s">
        <v>36</v>
      </c>
      <c r="E1685" s="3" t="s">
        <v>30</v>
      </c>
      <c r="F1685" s="3" t="s">
        <v>37</v>
      </c>
      <c r="G1685" s="3">
        <v>2016</v>
      </c>
      <c r="H1685" s="3" t="str">
        <f>CONCATENATE("64210281339")</f>
        <v>64210281339</v>
      </c>
      <c r="I1685" s="3" t="s">
        <v>25</v>
      </c>
      <c r="J1685" s="3" t="s">
        <v>26</v>
      </c>
      <c r="K1685" s="3" t="str">
        <f t="shared" si="57"/>
        <v/>
      </c>
      <c r="L1685" s="3" t="str">
        <f>CONCATENATE("13 13.1 4a")</f>
        <v>13 13.1 4a</v>
      </c>
      <c r="M1685" s="3" t="str">
        <f>CONCATENATE("DMLRRT67H08D635D")</f>
        <v>DMLRRT67H08D635D</v>
      </c>
      <c r="N1685" s="3" t="s">
        <v>1711</v>
      </c>
      <c r="O1685" s="3"/>
      <c r="P1685" s="4">
        <v>42783</v>
      </c>
      <c r="Q1685" s="3" t="s">
        <v>27</v>
      </c>
      <c r="R1685" s="3" t="s">
        <v>28</v>
      </c>
      <c r="S1685" s="3" t="s">
        <v>29</v>
      </c>
      <c r="T1685" s="3">
        <v>898.43</v>
      </c>
      <c r="U1685" s="3">
        <v>387.4</v>
      </c>
      <c r="V1685" s="3">
        <v>357.75</v>
      </c>
      <c r="W1685" s="3">
        <v>153.28</v>
      </c>
    </row>
    <row r="1686" spans="1:23" ht="36.75">
      <c r="A1686" s="3" t="s">
        <v>23</v>
      </c>
      <c r="B1686" s="3" t="s">
        <v>24</v>
      </c>
      <c r="C1686" s="3" t="s">
        <v>35</v>
      </c>
      <c r="D1686" s="3" t="s">
        <v>39</v>
      </c>
      <c r="E1686" s="3" t="s">
        <v>32</v>
      </c>
      <c r="F1686" s="3" t="s">
        <v>215</v>
      </c>
      <c r="G1686" s="3">
        <v>2016</v>
      </c>
      <c r="H1686" s="3" t="str">
        <f>CONCATENATE("64240344925")</f>
        <v>64240344925</v>
      </c>
      <c r="I1686" s="3" t="s">
        <v>25</v>
      </c>
      <c r="J1686" s="3" t="s">
        <v>26</v>
      </c>
      <c r="K1686" s="3" t="str">
        <f t="shared" si="57"/>
        <v/>
      </c>
      <c r="L1686" s="3" t="str">
        <f>CONCATENATE("11 11.2 4b")</f>
        <v>11 11.2 4b</v>
      </c>
      <c r="M1686" s="3" t="str">
        <f>CONCATENATE("02293390429")</f>
        <v>02293390429</v>
      </c>
      <c r="N1686" s="3" t="s">
        <v>1712</v>
      </c>
      <c r="O1686" s="3"/>
      <c r="P1686" s="4">
        <v>42783</v>
      </c>
      <c r="Q1686" s="3" t="s">
        <v>27</v>
      </c>
      <c r="R1686" s="3" t="s">
        <v>28</v>
      </c>
      <c r="S1686" s="3" t="s">
        <v>29</v>
      </c>
      <c r="T1686" s="5">
        <v>6805.64</v>
      </c>
      <c r="U1686" s="5">
        <v>2934.59</v>
      </c>
      <c r="V1686" s="5">
        <v>2710.01</v>
      </c>
      <c r="W1686" s="5">
        <v>1161.04</v>
      </c>
    </row>
    <row r="1687" spans="1:23" ht="72.75">
      <c r="A1687" s="3" t="s">
        <v>23</v>
      </c>
      <c r="B1687" s="3" t="s">
        <v>24</v>
      </c>
      <c r="C1687" s="3" t="s">
        <v>35</v>
      </c>
      <c r="D1687" s="3" t="s">
        <v>48</v>
      </c>
      <c r="E1687" s="3" t="s">
        <v>34</v>
      </c>
      <c r="F1687" s="3" t="s">
        <v>141</v>
      </c>
      <c r="G1687" s="3">
        <v>2016</v>
      </c>
      <c r="H1687" s="3" t="str">
        <f>CONCATENATE("64240733705")</f>
        <v>64240733705</v>
      </c>
      <c r="I1687" s="3" t="s">
        <v>25</v>
      </c>
      <c r="J1687" s="3" t="s">
        <v>26</v>
      </c>
      <c r="K1687" s="3" t="str">
        <f t="shared" si="57"/>
        <v/>
      </c>
      <c r="L1687" s="3" t="str">
        <f>CONCATENATE("11 11.2 4b")</f>
        <v>11 11.2 4b</v>
      </c>
      <c r="M1687" s="3" t="str">
        <f>CONCATENATE("FRRMRA38B46G436V")</f>
        <v>FRRMRA38B46G436V</v>
      </c>
      <c r="N1687" s="3" t="s">
        <v>1713</v>
      </c>
      <c r="O1687" s="3"/>
      <c r="P1687" s="4">
        <v>42783</v>
      </c>
      <c r="Q1687" s="3" t="s">
        <v>27</v>
      </c>
      <c r="R1687" s="3" t="s">
        <v>28</v>
      </c>
      <c r="S1687" s="3" t="s">
        <v>29</v>
      </c>
      <c r="T1687" s="5">
        <v>2822.83</v>
      </c>
      <c r="U1687" s="5">
        <v>1217.2</v>
      </c>
      <c r="V1687" s="5">
        <v>1124.05</v>
      </c>
      <c r="W1687" s="3">
        <v>481.58</v>
      </c>
    </row>
    <row r="1688" spans="1:23" ht="60.75">
      <c r="A1688" s="3" t="s">
        <v>23</v>
      </c>
      <c r="B1688" s="3" t="s">
        <v>24</v>
      </c>
      <c r="C1688" s="3" t="s">
        <v>35</v>
      </c>
      <c r="D1688" s="3" t="s">
        <v>36</v>
      </c>
      <c r="E1688" s="3" t="s">
        <v>42</v>
      </c>
      <c r="F1688" s="3" t="s">
        <v>42</v>
      </c>
      <c r="G1688" s="3">
        <v>2016</v>
      </c>
      <c r="H1688" s="3" t="str">
        <f>CONCATENATE("64240081428")</f>
        <v>64240081428</v>
      </c>
      <c r="I1688" s="3" t="s">
        <v>25</v>
      </c>
      <c r="J1688" s="3" t="s">
        <v>26</v>
      </c>
      <c r="K1688" s="3" t="str">
        <f t="shared" si="57"/>
        <v/>
      </c>
      <c r="L1688" s="3" t="str">
        <f>CONCATENATE("11 11.2 4b")</f>
        <v>11 11.2 4b</v>
      </c>
      <c r="M1688" s="3" t="str">
        <f>CONCATENATE("FLZGZN48M08D096P")</f>
        <v>FLZGZN48M08D096P</v>
      </c>
      <c r="N1688" s="3" t="s">
        <v>1714</v>
      </c>
      <c r="O1688" s="3"/>
      <c r="P1688" s="4">
        <v>42783</v>
      </c>
      <c r="Q1688" s="3" t="s">
        <v>27</v>
      </c>
      <c r="R1688" s="3" t="s">
        <v>28</v>
      </c>
      <c r="S1688" s="3" t="s">
        <v>29</v>
      </c>
      <c r="T1688" s="3">
        <v>890.88</v>
      </c>
      <c r="U1688" s="3">
        <v>384.15</v>
      </c>
      <c r="V1688" s="3">
        <v>354.75</v>
      </c>
      <c r="W1688" s="3">
        <v>151.97999999999999</v>
      </c>
    </row>
    <row r="1689" spans="1:23" ht="36.75">
      <c r="A1689" s="3" t="s">
        <v>23</v>
      </c>
      <c r="B1689" s="3" t="s">
        <v>24</v>
      </c>
      <c r="C1689" s="3" t="s">
        <v>35</v>
      </c>
      <c r="D1689" s="3" t="s">
        <v>39</v>
      </c>
      <c r="E1689" s="3" t="s">
        <v>59</v>
      </c>
      <c r="F1689" s="3" t="s">
        <v>457</v>
      </c>
      <c r="G1689" s="3">
        <v>2016</v>
      </c>
      <c r="H1689" s="3" t="str">
        <f>CONCATENATE("64240640058")</f>
        <v>64240640058</v>
      </c>
      <c r="I1689" s="3" t="s">
        <v>25</v>
      </c>
      <c r="J1689" s="3" t="s">
        <v>26</v>
      </c>
      <c r="K1689" s="3" t="str">
        <f t="shared" si="57"/>
        <v/>
      </c>
      <c r="L1689" s="3" t="str">
        <f>CONCATENATE("11 11.2 4b")</f>
        <v>11 11.2 4b</v>
      </c>
      <c r="M1689" s="3" t="str">
        <f>CONCATENATE("02118990429")</f>
        <v>02118990429</v>
      </c>
      <c r="N1689" s="3" t="s">
        <v>1715</v>
      </c>
      <c r="O1689" s="3"/>
      <c r="P1689" s="4">
        <v>42783</v>
      </c>
      <c r="Q1689" s="3" t="s">
        <v>27</v>
      </c>
      <c r="R1689" s="3" t="s">
        <v>28</v>
      </c>
      <c r="S1689" s="3" t="s">
        <v>29</v>
      </c>
      <c r="T1689" s="5">
        <v>35146.449999999997</v>
      </c>
      <c r="U1689" s="5">
        <v>15155.15</v>
      </c>
      <c r="V1689" s="5">
        <v>13995.32</v>
      </c>
      <c r="W1689" s="5">
        <v>5995.98</v>
      </c>
    </row>
    <row r="1690" spans="1:23" ht="36.75">
      <c r="A1690" s="3" t="s">
        <v>23</v>
      </c>
      <c r="B1690" s="3" t="s">
        <v>24</v>
      </c>
      <c r="C1690" s="3" t="s">
        <v>35</v>
      </c>
      <c r="D1690" s="3" t="s">
        <v>36</v>
      </c>
      <c r="E1690" s="3" t="s">
        <v>42</v>
      </c>
      <c r="F1690" s="3" t="s">
        <v>42</v>
      </c>
      <c r="G1690" s="3">
        <v>2016</v>
      </c>
      <c r="H1690" s="3" t="str">
        <f>CONCATENATE("64240503090")</f>
        <v>64240503090</v>
      </c>
      <c r="I1690" s="3" t="s">
        <v>25</v>
      </c>
      <c r="J1690" s="3" t="s">
        <v>26</v>
      </c>
      <c r="K1690" s="3" t="str">
        <f t="shared" si="57"/>
        <v/>
      </c>
      <c r="L1690" s="3" t="str">
        <f>CONCATENATE("11 11.2 4b")</f>
        <v>11 11.2 4b</v>
      </c>
      <c r="M1690" s="3" t="str">
        <f>CONCATENATE("01511110445")</f>
        <v>01511110445</v>
      </c>
      <c r="N1690" s="3" t="s">
        <v>1716</v>
      </c>
      <c r="O1690" s="3"/>
      <c r="P1690" s="4">
        <v>42783</v>
      </c>
      <c r="Q1690" s="3" t="s">
        <v>27</v>
      </c>
      <c r="R1690" s="3" t="s">
        <v>28</v>
      </c>
      <c r="S1690" s="3" t="s">
        <v>29</v>
      </c>
      <c r="T1690" s="5">
        <v>82517.8</v>
      </c>
      <c r="U1690" s="5">
        <v>35581.68</v>
      </c>
      <c r="V1690" s="5">
        <v>32858.589999999997</v>
      </c>
      <c r="W1690" s="5">
        <v>14077.53</v>
      </c>
    </row>
    <row r="1691" spans="1:23" ht="60.75">
      <c r="A1691" s="3" t="s">
        <v>23</v>
      </c>
      <c r="B1691" s="3" t="s">
        <v>24</v>
      </c>
      <c r="C1691" s="3" t="s">
        <v>35</v>
      </c>
      <c r="D1691" s="3" t="s">
        <v>48</v>
      </c>
      <c r="E1691" s="3" t="s">
        <v>30</v>
      </c>
      <c r="F1691" s="3" t="s">
        <v>91</v>
      </c>
      <c r="G1691" s="3">
        <v>2016</v>
      </c>
      <c r="H1691" s="3" t="str">
        <f>CONCATENATE("64210571275")</f>
        <v>64210571275</v>
      </c>
      <c r="I1691" s="3" t="s">
        <v>25</v>
      </c>
      <c r="J1691" s="3" t="s">
        <v>26</v>
      </c>
      <c r="K1691" s="3" t="str">
        <f t="shared" si="57"/>
        <v/>
      </c>
      <c r="L1691" s="3" t="str">
        <f>CONCATENATE("13 13.1 4a")</f>
        <v>13 13.1 4a</v>
      </c>
      <c r="M1691" s="3" t="str">
        <f>CONCATENATE("FLCNMR51L60I569U")</f>
        <v>FLCNMR51L60I569U</v>
      </c>
      <c r="N1691" s="3" t="s">
        <v>1717</v>
      </c>
      <c r="O1691" s="3"/>
      <c r="P1691" s="4">
        <v>42783</v>
      </c>
      <c r="Q1691" s="3" t="s">
        <v>27</v>
      </c>
      <c r="R1691" s="3" t="s">
        <v>28</v>
      </c>
      <c r="S1691" s="3" t="s">
        <v>29</v>
      </c>
      <c r="T1691" s="5">
        <v>1827.68</v>
      </c>
      <c r="U1691" s="3">
        <v>788.1</v>
      </c>
      <c r="V1691" s="3">
        <v>727.78</v>
      </c>
      <c r="W1691" s="3">
        <v>311.8</v>
      </c>
    </row>
    <row r="1692" spans="1:23" ht="60.75">
      <c r="A1692" s="3" t="s">
        <v>23</v>
      </c>
      <c r="B1692" s="3" t="s">
        <v>24</v>
      </c>
      <c r="C1692" s="3" t="s">
        <v>35</v>
      </c>
      <c r="D1692" s="3" t="s">
        <v>39</v>
      </c>
      <c r="E1692" s="3" t="s">
        <v>33</v>
      </c>
      <c r="F1692" s="3" t="s">
        <v>498</v>
      </c>
      <c r="G1692" s="3">
        <v>2016</v>
      </c>
      <c r="H1692" s="3" t="str">
        <f>CONCATENATE("64240651709")</f>
        <v>64240651709</v>
      </c>
      <c r="I1692" s="3" t="s">
        <v>25</v>
      </c>
      <c r="J1692" s="3" t="s">
        <v>26</v>
      </c>
      <c r="K1692" s="3" t="str">
        <f t="shared" si="57"/>
        <v/>
      </c>
      <c r="L1692" s="3" t="str">
        <f>CONCATENATE("10 10.1 4a")</f>
        <v>10 10.1 4a</v>
      </c>
      <c r="M1692" s="3" t="str">
        <f>CONCATENATE("CSRCLD80D09E388V")</f>
        <v>CSRCLD80D09E388V</v>
      </c>
      <c r="N1692" s="3" t="s">
        <v>1718</v>
      </c>
      <c r="O1692" s="3"/>
      <c r="P1692" s="4">
        <v>42783</v>
      </c>
      <c r="Q1692" s="3" t="s">
        <v>27</v>
      </c>
      <c r="R1692" s="3" t="s">
        <v>28</v>
      </c>
      <c r="S1692" s="3" t="s">
        <v>29</v>
      </c>
      <c r="T1692" s="5">
        <v>3715.78</v>
      </c>
      <c r="U1692" s="5">
        <v>1602.24</v>
      </c>
      <c r="V1692" s="5">
        <v>1479.62</v>
      </c>
      <c r="W1692" s="3">
        <v>633.91999999999996</v>
      </c>
    </row>
    <row r="1693" spans="1:23" ht="36.75">
      <c r="A1693" s="3" t="s">
        <v>23</v>
      </c>
      <c r="B1693" s="3" t="s">
        <v>24</v>
      </c>
      <c r="C1693" s="3" t="s">
        <v>35</v>
      </c>
      <c r="D1693" s="3" t="s">
        <v>48</v>
      </c>
      <c r="E1693" s="3" t="s">
        <v>49</v>
      </c>
      <c r="F1693" s="3" t="s">
        <v>50</v>
      </c>
      <c r="G1693" s="3">
        <v>2016</v>
      </c>
      <c r="H1693" s="3" t="str">
        <f>CONCATENATE("64240389342")</f>
        <v>64240389342</v>
      </c>
      <c r="I1693" s="3" t="s">
        <v>25</v>
      </c>
      <c r="J1693" s="3" t="s">
        <v>26</v>
      </c>
      <c r="K1693" s="3" t="str">
        <f t="shared" si="57"/>
        <v/>
      </c>
      <c r="L1693" s="3" t="str">
        <f>CONCATENATE("11 11.1 4b")</f>
        <v>11 11.1 4b</v>
      </c>
      <c r="M1693" s="3" t="str">
        <f>CONCATENATE("01899080434")</f>
        <v>01899080434</v>
      </c>
      <c r="N1693" s="3" t="s">
        <v>1719</v>
      </c>
      <c r="O1693" s="3"/>
      <c r="P1693" s="4">
        <v>42783</v>
      </c>
      <c r="Q1693" s="3" t="s">
        <v>27</v>
      </c>
      <c r="R1693" s="3" t="s">
        <v>28</v>
      </c>
      <c r="S1693" s="3" t="s">
        <v>29</v>
      </c>
      <c r="T1693" s="5">
        <v>4941.26</v>
      </c>
      <c r="U1693" s="5">
        <v>2130.67</v>
      </c>
      <c r="V1693" s="5">
        <v>1967.61</v>
      </c>
      <c r="W1693" s="3">
        <v>842.98</v>
      </c>
    </row>
    <row r="1694" spans="1:23" ht="60.75">
      <c r="A1694" s="3" t="s">
        <v>23</v>
      </c>
      <c r="B1694" s="3" t="s">
        <v>24</v>
      </c>
      <c r="C1694" s="3" t="s">
        <v>35</v>
      </c>
      <c r="D1694" s="3" t="s">
        <v>48</v>
      </c>
      <c r="E1694" s="3" t="s">
        <v>34</v>
      </c>
      <c r="F1694" s="3" t="s">
        <v>141</v>
      </c>
      <c r="G1694" s="3">
        <v>2016</v>
      </c>
      <c r="H1694" s="3" t="str">
        <f>CONCATENATE("64240657664")</f>
        <v>64240657664</v>
      </c>
      <c r="I1694" s="3" t="s">
        <v>25</v>
      </c>
      <c r="J1694" s="3" t="s">
        <v>26</v>
      </c>
      <c r="K1694" s="3" t="str">
        <f t="shared" si="57"/>
        <v/>
      </c>
      <c r="L1694" s="3" t="str">
        <f>CONCATENATE("11 11.2 4b")</f>
        <v>11 11.2 4b</v>
      </c>
      <c r="M1694" s="3" t="str">
        <f>CONCATENATE("CMPCLD48R69Z613Z")</f>
        <v>CMPCLD48R69Z613Z</v>
      </c>
      <c r="N1694" s="3" t="s">
        <v>1720</v>
      </c>
      <c r="O1694" s="3"/>
      <c r="P1694" s="4">
        <v>42783</v>
      </c>
      <c r="Q1694" s="3" t="s">
        <v>27</v>
      </c>
      <c r="R1694" s="3" t="s">
        <v>28</v>
      </c>
      <c r="S1694" s="3" t="s">
        <v>29</v>
      </c>
      <c r="T1694" s="3">
        <v>657.94</v>
      </c>
      <c r="U1694" s="3">
        <v>283.7</v>
      </c>
      <c r="V1694" s="3">
        <v>261.99</v>
      </c>
      <c r="W1694" s="3">
        <v>112.25</v>
      </c>
    </row>
    <row r="1695" spans="1:23" ht="60.75">
      <c r="A1695" s="3" t="s">
        <v>23</v>
      </c>
      <c r="B1695" s="3" t="s">
        <v>24</v>
      </c>
      <c r="C1695" s="3" t="s">
        <v>35</v>
      </c>
      <c r="D1695" s="3" t="s">
        <v>36</v>
      </c>
      <c r="E1695" s="3" t="s">
        <v>34</v>
      </c>
      <c r="F1695" s="3" t="s">
        <v>273</v>
      </c>
      <c r="G1695" s="3">
        <v>2016</v>
      </c>
      <c r="H1695" s="3" t="str">
        <f>CONCATENATE("64240680989")</f>
        <v>64240680989</v>
      </c>
      <c r="I1695" s="3" t="s">
        <v>25</v>
      </c>
      <c r="J1695" s="3" t="s">
        <v>26</v>
      </c>
      <c r="K1695" s="3" t="str">
        <f t="shared" si="57"/>
        <v/>
      </c>
      <c r="L1695" s="3" t="str">
        <f>CONCATENATE("11 11.1 4b")</f>
        <v>11 11.1 4b</v>
      </c>
      <c r="M1695" s="3" t="str">
        <f>CONCATENATE("VLLFBA83E25H769X")</f>
        <v>VLLFBA83E25H769X</v>
      </c>
      <c r="N1695" s="3" t="s">
        <v>1721</v>
      </c>
      <c r="O1695" s="3"/>
      <c r="P1695" s="4">
        <v>42783</v>
      </c>
      <c r="Q1695" s="3" t="s">
        <v>27</v>
      </c>
      <c r="R1695" s="3" t="s">
        <v>28</v>
      </c>
      <c r="S1695" s="3" t="s">
        <v>29</v>
      </c>
      <c r="T1695" s="5">
        <v>2608.4499999999998</v>
      </c>
      <c r="U1695" s="5">
        <v>1124.76</v>
      </c>
      <c r="V1695" s="5">
        <v>1038.68</v>
      </c>
      <c r="W1695" s="3">
        <v>445.01</v>
      </c>
    </row>
    <row r="1696" spans="1:23" ht="72.75">
      <c r="A1696" s="3" t="s">
        <v>23</v>
      </c>
      <c r="B1696" s="3" t="s">
        <v>24</v>
      </c>
      <c r="C1696" s="3" t="s">
        <v>35</v>
      </c>
      <c r="D1696" s="3" t="s">
        <v>39</v>
      </c>
      <c r="E1696" s="3" t="s">
        <v>32</v>
      </c>
      <c r="F1696" s="3" t="s">
        <v>215</v>
      </c>
      <c r="G1696" s="3">
        <v>2016</v>
      </c>
      <c r="H1696" s="3" t="str">
        <f>CONCATENATE("64240871851")</f>
        <v>64240871851</v>
      </c>
      <c r="I1696" s="3" t="s">
        <v>31</v>
      </c>
      <c r="J1696" s="3" t="s">
        <v>26</v>
      </c>
      <c r="K1696" s="3" t="str">
        <f t="shared" si="57"/>
        <v/>
      </c>
      <c r="L1696" s="3" t="str">
        <f>CONCATENATE("10 10.1 4a")</f>
        <v>10 10.1 4a</v>
      </c>
      <c r="M1696" s="3" t="str">
        <f>CONCATENATE("MNSNMR71R05E388M")</f>
        <v>MNSNMR71R05E388M</v>
      </c>
      <c r="N1696" s="3" t="s">
        <v>1722</v>
      </c>
      <c r="O1696" s="3"/>
      <c r="P1696" s="4">
        <v>42783</v>
      </c>
      <c r="Q1696" s="3" t="s">
        <v>27</v>
      </c>
      <c r="R1696" s="3" t="s">
        <v>28</v>
      </c>
      <c r="S1696" s="3" t="s">
        <v>29</v>
      </c>
      <c r="T1696" s="3">
        <v>523.79999999999995</v>
      </c>
      <c r="U1696" s="3">
        <v>225.86</v>
      </c>
      <c r="V1696" s="3">
        <v>208.58</v>
      </c>
      <c r="W1696" s="3">
        <v>89.36</v>
      </c>
    </row>
    <row r="1697" spans="1:23" ht="60.75">
      <c r="A1697" s="3" t="s">
        <v>23</v>
      </c>
      <c r="B1697" s="3" t="s">
        <v>24</v>
      </c>
      <c r="C1697" s="3" t="s">
        <v>35</v>
      </c>
      <c r="D1697" s="3" t="s">
        <v>36</v>
      </c>
      <c r="E1697" s="3" t="s">
        <v>30</v>
      </c>
      <c r="F1697" s="3" t="s">
        <v>323</v>
      </c>
      <c r="G1697" s="3">
        <v>2016</v>
      </c>
      <c r="H1697" s="3" t="str">
        <f>CONCATENATE("64240524179")</f>
        <v>64240524179</v>
      </c>
      <c r="I1697" s="3" t="s">
        <v>25</v>
      </c>
      <c r="J1697" s="3" t="s">
        <v>26</v>
      </c>
      <c r="K1697" s="3" t="str">
        <f t="shared" si="57"/>
        <v/>
      </c>
      <c r="L1697" s="3" t="str">
        <f>CONCATENATE("11 11.1 4b")</f>
        <v>11 11.1 4b</v>
      </c>
      <c r="M1697" s="3" t="str">
        <f>CONCATENATE("FLCLDA86D11H769B")</f>
        <v>FLCLDA86D11H769B</v>
      </c>
      <c r="N1697" s="3" t="s">
        <v>1723</v>
      </c>
      <c r="O1697" s="3"/>
      <c r="P1697" s="4">
        <v>42783</v>
      </c>
      <c r="Q1697" s="3" t="s">
        <v>27</v>
      </c>
      <c r="R1697" s="3" t="s">
        <v>28</v>
      </c>
      <c r="S1697" s="3" t="s">
        <v>29</v>
      </c>
      <c r="T1697" s="5">
        <v>1149.02</v>
      </c>
      <c r="U1697" s="3">
        <v>495.46</v>
      </c>
      <c r="V1697" s="3">
        <v>457.54</v>
      </c>
      <c r="W1697" s="3">
        <v>196.02</v>
      </c>
    </row>
    <row r="1698" spans="1:23" ht="60.75">
      <c r="A1698" s="3" t="s">
        <v>23</v>
      </c>
      <c r="B1698" s="3" t="s">
        <v>24</v>
      </c>
      <c r="C1698" s="3" t="s">
        <v>35</v>
      </c>
      <c r="D1698" s="3" t="s">
        <v>43</v>
      </c>
      <c r="E1698" s="3" t="s">
        <v>32</v>
      </c>
      <c r="F1698" s="3" t="s">
        <v>335</v>
      </c>
      <c r="G1698" s="3">
        <v>2016</v>
      </c>
      <c r="H1698" s="3" t="str">
        <f>CONCATENATE("64240530051")</f>
        <v>64240530051</v>
      </c>
      <c r="I1698" s="3" t="s">
        <v>31</v>
      </c>
      <c r="J1698" s="3" t="s">
        <v>26</v>
      </c>
      <c r="K1698" s="3" t="str">
        <f t="shared" si="57"/>
        <v/>
      </c>
      <c r="L1698" s="3" t="str">
        <f>CONCATENATE("11 11.1 4b")</f>
        <v>11 11.1 4b</v>
      </c>
      <c r="M1698" s="3" t="str">
        <f>CONCATENATE("PNSPLA75M30E785D")</f>
        <v>PNSPLA75M30E785D</v>
      </c>
      <c r="N1698" s="3" t="s">
        <v>1724</v>
      </c>
      <c r="O1698" s="3"/>
      <c r="P1698" s="4">
        <v>42783</v>
      </c>
      <c r="Q1698" s="3" t="s">
        <v>27</v>
      </c>
      <c r="R1698" s="3" t="s">
        <v>28</v>
      </c>
      <c r="S1698" s="3" t="s">
        <v>29</v>
      </c>
      <c r="T1698" s="5">
        <v>1628.23</v>
      </c>
      <c r="U1698" s="3">
        <v>702.09</v>
      </c>
      <c r="V1698" s="3">
        <v>648.36</v>
      </c>
      <c r="W1698" s="3">
        <v>277.77999999999997</v>
      </c>
    </row>
    <row r="1699" spans="1:23" ht="60.75">
      <c r="A1699" s="3" t="s">
        <v>23</v>
      </c>
      <c r="B1699" s="3" t="s">
        <v>24</v>
      </c>
      <c r="C1699" s="3" t="s">
        <v>35</v>
      </c>
      <c r="D1699" s="3" t="s">
        <v>43</v>
      </c>
      <c r="E1699" s="3" t="s">
        <v>32</v>
      </c>
      <c r="F1699" s="3" t="s">
        <v>119</v>
      </c>
      <c r="G1699" s="3">
        <v>2016</v>
      </c>
      <c r="H1699" s="3" t="str">
        <f>CONCATENATE("64210868242")</f>
        <v>64210868242</v>
      </c>
      <c r="I1699" s="3" t="s">
        <v>25</v>
      </c>
      <c r="J1699" s="3" t="s">
        <v>26</v>
      </c>
      <c r="K1699" s="3" t="str">
        <f t="shared" si="57"/>
        <v/>
      </c>
      <c r="L1699" s="3" t="str">
        <f>CONCATENATE("13 13.1 4a")</f>
        <v>13 13.1 4a</v>
      </c>
      <c r="M1699" s="3" t="str">
        <f>CONCATENATE("CMBMRT77M60B352T")</f>
        <v>CMBMRT77M60B352T</v>
      </c>
      <c r="N1699" s="3" t="s">
        <v>1725</v>
      </c>
      <c r="O1699" s="3"/>
      <c r="P1699" s="4">
        <v>42783</v>
      </c>
      <c r="Q1699" s="3" t="s">
        <v>27</v>
      </c>
      <c r="R1699" s="3" t="s">
        <v>28</v>
      </c>
      <c r="S1699" s="3" t="s">
        <v>29</v>
      </c>
      <c r="T1699" s="5">
        <v>2232.48</v>
      </c>
      <c r="U1699" s="3">
        <v>962.65</v>
      </c>
      <c r="V1699" s="3">
        <v>888.97</v>
      </c>
      <c r="W1699" s="3">
        <v>380.86</v>
      </c>
    </row>
    <row r="1700" spans="1:23" ht="36.75">
      <c r="A1700" s="3" t="s">
        <v>23</v>
      </c>
      <c r="B1700" s="3" t="s">
        <v>24</v>
      </c>
      <c r="C1700" s="3" t="s">
        <v>35</v>
      </c>
      <c r="D1700" s="3" t="s">
        <v>36</v>
      </c>
      <c r="E1700" s="3" t="s">
        <v>30</v>
      </c>
      <c r="F1700" s="3" t="s">
        <v>37</v>
      </c>
      <c r="G1700" s="3">
        <v>2016</v>
      </c>
      <c r="H1700" s="3" t="str">
        <f>CONCATENATE("64240598710")</f>
        <v>64240598710</v>
      </c>
      <c r="I1700" s="3" t="s">
        <v>25</v>
      </c>
      <c r="J1700" s="3" t="s">
        <v>26</v>
      </c>
      <c r="K1700" s="3" t="str">
        <f t="shared" si="57"/>
        <v/>
      </c>
      <c r="L1700" s="3" t="str">
        <f>CONCATENATE("11 11.1 4b")</f>
        <v>11 11.1 4b</v>
      </c>
      <c r="M1700" s="3" t="str">
        <f>CONCATENATE("02267520449")</f>
        <v>02267520449</v>
      </c>
      <c r="N1700" s="3" t="s">
        <v>1726</v>
      </c>
      <c r="O1700" s="3"/>
      <c r="P1700" s="4">
        <v>42783</v>
      </c>
      <c r="Q1700" s="3" t="s">
        <v>27</v>
      </c>
      <c r="R1700" s="3" t="s">
        <v>28</v>
      </c>
      <c r="S1700" s="3" t="s">
        <v>29</v>
      </c>
      <c r="T1700" s="5">
        <v>1568.68</v>
      </c>
      <c r="U1700" s="3">
        <v>676.41</v>
      </c>
      <c r="V1700" s="3">
        <v>624.65</v>
      </c>
      <c r="W1700" s="3">
        <v>267.62</v>
      </c>
    </row>
    <row r="1701" spans="1:23" ht="60.75">
      <c r="A1701" s="3" t="s">
        <v>23</v>
      </c>
      <c r="B1701" s="3" t="s">
        <v>24</v>
      </c>
      <c r="C1701" s="3" t="s">
        <v>35</v>
      </c>
      <c r="D1701" s="3" t="s">
        <v>43</v>
      </c>
      <c r="E1701" s="3" t="s">
        <v>30</v>
      </c>
      <c r="F1701" s="3" t="s">
        <v>76</v>
      </c>
      <c r="G1701" s="3">
        <v>2016</v>
      </c>
      <c r="H1701" s="3" t="str">
        <f>CONCATENATE("64210086373")</f>
        <v>64210086373</v>
      </c>
      <c r="I1701" s="3" t="s">
        <v>25</v>
      </c>
      <c r="J1701" s="3" t="s">
        <v>26</v>
      </c>
      <c r="K1701" s="3" t="str">
        <f t="shared" si="57"/>
        <v/>
      </c>
      <c r="L1701" s="3" t="str">
        <f>CONCATENATE("13 13.1 4a")</f>
        <v>13 13.1 4a</v>
      </c>
      <c r="M1701" s="3" t="str">
        <f>CONCATENATE("BTTVNI57T41A740M")</f>
        <v>BTTVNI57T41A740M</v>
      </c>
      <c r="N1701" s="3" t="s">
        <v>1727</v>
      </c>
      <c r="O1701" s="3"/>
      <c r="P1701" s="4">
        <v>42783</v>
      </c>
      <c r="Q1701" s="3" t="s">
        <v>27</v>
      </c>
      <c r="R1701" s="3" t="s">
        <v>28</v>
      </c>
      <c r="S1701" s="3" t="s">
        <v>29</v>
      </c>
      <c r="T1701" s="5">
        <v>3122.06</v>
      </c>
      <c r="U1701" s="5">
        <v>1346.23</v>
      </c>
      <c r="V1701" s="5">
        <v>1243.2</v>
      </c>
      <c r="W1701" s="3">
        <v>532.63</v>
      </c>
    </row>
    <row r="1702" spans="1:23" ht="60.75">
      <c r="A1702" s="3" t="s">
        <v>23</v>
      </c>
      <c r="B1702" s="3" t="s">
        <v>24</v>
      </c>
      <c r="C1702" s="3" t="s">
        <v>35</v>
      </c>
      <c r="D1702" s="3" t="s">
        <v>43</v>
      </c>
      <c r="E1702" s="3" t="s">
        <v>33</v>
      </c>
      <c r="F1702" s="3" t="s">
        <v>122</v>
      </c>
      <c r="G1702" s="3">
        <v>2016</v>
      </c>
      <c r="H1702" s="3" t="str">
        <f>CONCATENATE("64211058777")</f>
        <v>64211058777</v>
      </c>
      <c r="I1702" s="3" t="s">
        <v>25</v>
      </c>
      <c r="J1702" s="3" t="s">
        <v>26</v>
      </c>
      <c r="K1702" s="3" t="str">
        <f t="shared" si="57"/>
        <v/>
      </c>
      <c r="L1702" s="3" t="str">
        <f>CONCATENATE("13 13.1 4a")</f>
        <v>13 13.1 4a</v>
      </c>
      <c r="M1702" s="3" t="str">
        <f>CONCATENATE("RGGGPL67E04G551J")</f>
        <v>RGGGPL67E04G551J</v>
      </c>
      <c r="N1702" s="3" t="s">
        <v>1728</v>
      </c>
      <c r="O1702" s="3"/>
      <c r="P1702" s="4">
        <v>42783</v>
      </c>
      <c r="Q1702" s="3" t="s">
        <v>27</v>
      </c>
      <c r="R1702" s="3" t="s">
        <v>28</v>
      </c>
      <c r="S1702" s="3" t="s">
        <v>29</v>
      </c>
      <c r="T1702" s="5">
        <v>1788.08</v>
      </c>
      <c r="U1702" s="3">
        <v>771.02</v>
      </c>
      <c r="V1702" s="3">
        <v>712.01</v>
      </c>
      <c r="W1702" s="3">
        <v>305.05</v>
      </c>
    </row>
    <row r="1703" spans="1:23" ht="60.75">
      <c r="A1703" s="3" t="s">
        <v>23</v>
      </c>
      <c r="B1703" s="3" t="s">
        <v>24</v>
      </c>
      <c r="C1703" s="3" t="s">
        <v>35</v>
      </c>
      <c r="D1703" s="3" t="s">
        <v>48</v>
      </c>
      <c r="E1703" s="3" t="s">
        <v>30</v>
      </c>
      <c r="F1703" s="3" t="s">
        <v>91</v>
      </c>
      <c r="G1703" s="3">
        <v>2016</v>
      </c>
      <c r="H1703" s="3" t="str">
        <f>CONCATENATE("64210516262")</f>
        <v>64210516262</v>
      </c>
      <c r="I1703" s="3" t="s">
        <v>25</v>
      </c>
      <c r="J1703" s="3" t="s">
        <v>26</v>
      </c>
      <c r="K1703" s="3" t="str">
        <f t="shared" si="57"/>
        <v/>
      </c>
      <c r="L1703" s="3" t="str">
        <f>CONCATENATE("13 13.1 4a")</f>
        <v>13 13.1 4a</v>
      </c>
      <c r="M1703" s="3" t="str">
        <f>CONCATENATE("NGLMRK78A11B474J")</f>
        <v>NGLMRK78A11B474J</v>
      </c>
      <c r="N1703" s="3" t="s">
        <v>1729</v>
      </c>
      <c r="O1703" s="3"/>
      <c r="P1703" s="4">
        <v>42783</v>
      </c>
      <c r="Q1703" s="3" t="s">
        <v>27</v>
      </c>
      <c r="R1703" s="3" t="s">
        <v>28</v>
      </c>
      <c r="S1703" s="3" t="s">
        <v>29</v>
      </c>
      <c r="T1703" s="5">
        <v>3038.09</v>
      </c>
      <c r="U1703" s="5">
        <v>1310.02</v>
      </c>
      <c r="V1703" s="5">
        <v>1209.77</v>
      </c>
      <c r="W1703" s="3">
        <v>518.29999999999995</v>
      </c>
    </row>
    <row r="1704" spans="1:23" ht="60.75">
      <c r="A1704" s="3" t="s">
        <v>23</v>
      </c>
      <c r="B1704" s="3" t="s">
        <v>24</v>
      </c>
      <c r="C1704" s="3" t="s">
        <v>35</v>
      </c>
      <c r="D1704" s="3" t="s">
        <v>36</v>
      </c>
      <c r="E1704" s="3" t="s">
        <v>59</v>
      </c>
      <c r="F1704" s="3" t="s">
        <v>62</v>
      </c>
      <c r="G1704" s="3">
        <v>2016</v>
      </c>
      <c r="H1704" s="3" t="str">
        <f>CONCATENATE("64240622361")</f>
        <v>64240622361</v>
      </c>
      <c r="I1704" s="3" t="s">
        <v>25</v>
      </c>
      <c r="J1704" s="3" t="s">
        <v>26</v>
      </c>
      <c r="K1704" s="3" t="str">
        <f t="shared" si="57"/>
        <v/>
      </c>
      <c r="L1704" s="3" t="str">
        <f>CONCATENATE("11 11.2 4b")</f>
        <v>11 11.2 4b</v>
      </c>
      <c r="M1704" s="3" t="str">
        <f>CONCATENATE("CPCSMN71L23H769A")</f>
        <v>CPCSMN71L23H769A</v>
      </c>
      <c r="N1704" s="3" t="s">
        <v>1730</v>
      </c>
      <c r="O1704" s="3"/>
      <c r="P1704" s="4">
        <v>42783</v>
      </c>
      <c r="Q1704" s="3" t="s">
        <v>27</v>
      </c>
      <c r="R1704" s="3" t="s">
        <v>28</v>
      </c>
      <c r="S1704" s="3" t="s">
        <v>29</v>
      </c>
      <c r="T1704" s="5">
        <v>13465.13</v>
      </c>
      <c r="U1704" s="5">
        <v>5806.16</v>
      </c>
      <c r="V1704" s="5">
        <v>5361.81</v>
      </c>
      <c r="W1704" s="5">
        <v>2297.16</v>
      </c>
    </row>
    <row r="1705" spans="1:23" ht="60.75">
      <c r="A1705" s="3" t="s">
        <v>23</v>
      </c>
      <c r="B1705" s="3" t="s">
        <v>24</v>
      </c>
      <c r="C1705" s="3" t="s">
        <v>35</v>
      </c>
      <c r="D1705" s="3" t="s">
        <v>39</v>
      </c>
      <c r="E1705" s="3" t="s">
        <v>30</v>
      </c>
      <c r="F1705" s="3" t="s">
        <v>84</v>
      </c>
      <c r="G1705" s="3">
        <v>2016</v>
      </c>
      <c r="H1705" s="3" t="str">
        <f>CONCATENATE("64210243149")</f>
        <v>64210243149</v>
      </c>
      <c r="I1705" s="3" t="s">
        <v>25</v>
      </c>
      <c r="J1705" s="3" t="s">
        <v>26</v>
      </c>
      <c r="K1705" s="3" t="str">
        <f t="shared" si="57"/>
        <v/>
      </c>
      <c r="L1705" s="3" t="str">
        <f>CONCATENATE("13 13.1 4a")</f>
        <v>13 13.1 4a</v>
      </c>
      <c r="M1705" s="3" t="str">
        <f>CONCATENATE("CLLLGU43L12I653T")</f>
        <v>CLLLGU43L12I653T</v>
      </c>
      <c r="N1705" s="3" t="s">
        <v>1731</v>
      </c>
      <c r="O1705" s="3"/>
      <c r="P1705" s="4">
        <v>42783</v>
      </c>
      <c r="Q1705" s="3" t="s">
        <v>27</v>
      </c>
      <c r="R1705" s="3" t="s">
        <v>28</v>
      </c>
      <c r="S1705" s="3" t="s">
        <v>29</v>
      </c>
      <c r="T1705" s="3">
        <v>287.88</v>
      </c>
      <c r="U1705" s="3">
        <v>124.13</v>
      </c>
      <c r="V1705" s="3">
        <v>114.63</v>
      </c>
      <c r="W1705" s="3">
        <v>49.12</v>
      </c>
    </row>
    <row r="1706" spans="1:23" ht="60.75">
      <c r="A1706" s="3" t="s">
        <v>23</v>
      </c>
      <c r="B1706" s="3" t="s">
        <v>24</v>
      </c>
      <c r="C1706" s="3" t="s">
        <v>35</v>
      </c>
      <c r="D1706" s="3" t="s">
        <v>43</v>
      </c>
      <c r="E1706" s="3" t="s">
        <v>30</v>
      </c>
      <c r="F1706" s="3" t="s">
        <v>113</v>
      </c>
      <c r="G1706" s="3">
        <v>2016</v>
      </c>
      <c r="H1706" s="3" t="str">
        <f>CONCATENATE("64210995029")</f>
        <v>64210995029</v>
      </c>
      <c r="I1706" s="3" t="s">
        <v>25</v>
      </c>
      <c r="J1706" s="3" t="s">
        <v>26</v>
      </c>
      <c r="K1706" s="3" t="str">
        <f t="shared" si="57"/>
        <v/>
      </c>
      <c r="L1706" s="3" t="str">
        <f>CONCATENATE("13 13.1 4a")</f>
        <v>13 13.1 4a</v>
      </c>
      <c r="M1706" s="3" t="str">
        <f>CONCATENATE("BNDCLT50D11A035F")</f>
        <v>BNDCLT50D11A035F</v>
      </c>
      <c r="N1706" s="3" t="s">
        <v>1732</v>
      </c>
      <c r="O1706" s="3"/>
      <c r="P1706" s="4">
        <v>42783</v>
      </c>
      <c r="Q1706" s="3" t="s">
        <v>27</v>
      </c>
      <c r="R1706" s="3" t="s">
        <v>28</v>
      </c>
      <c r="S1706" s="3" t="s">
        <v>29</v>
      </c>
      <c r="T1706" s="5">
        <v>3407.66</v>
      </c>
      <c r="U1706" s="5">
        <v>1469.38</v>
      </c>
      <c r="V1706" s="5">
        <v>1356.93</v>
      </c>
      <c r="W1706" s="3">
        <v>581.35</v>
      </c>
    </row>
    <row r="1707" spans="1:23" ht="60.75">
      <c r="A1707" s="3" t="s">
        <v>23</v>
      </c>
      <c r="B1707" s="3" t="s">
        <v>24</v>
      </c>
      <c r="C1707" s="3" t="s">
        <v>35</v>
      </c>
      <c r="D1707" s="3" t="s">
        <v>43</v>
      </c>
      <c r="E1707" s="3" t="s">
        <v>49</v>
      </c>
      <c r="F1707" s="3" t="s">
        <v>276</v>
      </c>
      <c r="G1707" s="3">
        <v>2016</v>
      </c>
      <c r="H1707" s="3" t="str">
        <f>CONCATENATE("64240637104")</f>
        <v>64240637104</v>
      </c>
      <c r="I1707" s="3" t="s">
        <v>25</v>
      </c>
      <c r="J1707" s="3" t="s">
        <v>26</v>
      </c>
      <c r="K1707" s="3" t="str">
        <f t="shared" si="57"/>
        <v/>
      </c>
      <c r="L1707" s="3" t="str">
        <f>CONCATENATE("11 11.2 4b")</f>
        <v>11 11.2 4b</v>
      </c>
      <c r="M1707" s="3" t="str">
        <f>CONCATENATE("GLTMNL60S46G479Q")</f>
        <v>GLTMNL60S46G479Q</v>
      </c>
      <c r="N1707" s="3" t="s">
        <v>1733</v>
      </c>
      <c r="O1707" s="3"/>
      <c r="P1707" s="4">
        <v>42783</v>
      </c>
      <c r="Q1707" s="3" t="s">
        <v>27</v>
      </c>
      <c r="R1707" s="3" t="s">
        <v>28</v>
      </c>
      <c r="S1707" s="3" t="s">
        <v>29</v>
      </c>
      <c r="T1707" s="5">
        <v>3399.83</v>
      </c>
      <c r="U1707" s="5">
        <v>1466.01</v>
      </c>
      <c r="V1707" s="5">
        <v>1353.81</v>
      </c>
      <c r="W1707" s="3">
        <v>580.01</v>
      </c>
    </row>
    <row r="1708" spans="1:23" ht="60.75">
      <c r="A1708" s="3" t="s">
        <v>23</v>
      </c>
      <c r="B1708" s="3" t="s">
        <v>24</v>
      </c>
      <c r="C1708" s="3" t="s">
        <v>35</v>
      </c>
      <c r="D1708" s="3" t="s">
        <v>36</v>
      </c>
      <c r="E1708" s="3" t="s">
        <v>30</v>
      </c>
      <c r="F1708" s="3" t="s">
        <v>37</v>
      </c>
      <c r="G1708" s="3">
        <v>2016</v>
      </c>
      <c r="H1708" s="3" t="str">
        <f>CONCATENATE("64210662033")</f>
        <v>64210662033</v>
      </c>
      <c r="I1708" s="3" t="s">
        <v>25</v>
      </c>
      <c r="J1708" s="3" t="s">
        <v>26</v>
      </c>
      <c r="K1708" s="3" t="str">
        <f t="shared" si="57"/>
        <v/>
      </c>
      <c r="L1708" s="3" t="str">
        <f>CONCATENATE("13 13.1 4a")</f>
        <v>13 13.1 4a</v>
      </c>
      <c r="M1708" s="3" t="str">
        <f>CONCATENATE("BNCSVR53R13L295D")</f>
        <v>BNCSVR53R13L295D</v>
      </c>
      <c r="N1708" s="3" t="s">
        <v>1734</v>
      </c>
      <c r="O1708" s="3"/>
      <c r="P1708" s="4">
        <v>42783</v>
      </c>
      <c r="Q1708" s="3" t="s">
        <v>27</v>
      </c>
      <c r="R1708" s="3" t="s">
        <v>28</v>
      </c>
      <c r="S1708" s="3" t="s">
        <v>29</v>
      </c>
      <c r="T1708" s="5">
        <v>3317.79</v>
      </c>
      <c r="U1708" s="5">
        <v>1430.63</v>
      </c>
      <c r="V1708" s="5">
        <v>1321.14</v>
      </c>
      <c r="W1708" s="3">
        <v>566.02</v>
      </c>
    </row>
    <row r="1709" spans="1:23" ht="60.75">
      <c r="A1709" s="3" t="s">
        <v>23</v>
      </c>
      <c r="B1709" s="3" t="s">
        <v>24</v>
      </c>
      <c r="C1709" s="3" t="s">
        <v>35</v>
      </c>
      <c r="D1709" s="3" t="s">
        <v>36</v>
      </c>
      <c r="E1709" s="3" t="s">
        <v>59</v>
      </c>
      <c r="F1709" s="3" t="s">
        <v>62</v>
      </c>
      <c r="G1709" s="3">
        <v>2016</v>
      </c>
      <c r="H1709" s="3" t="str">
        <f>CONCATENATE("64240360855")</f>
        <v>64240360855</v>
      </c>
      <c r="I1709" s="3" t="s">
        <v>25</v>
      </c>
      <c r="J1709" s="3" t="s">
        <v>26</v>
      </c>
      <c r="K1709" s="3" t="str">
        <f t="shared" si="57"/>
        <v/>
      </c>
      <c r="L1709" s="3" t="str">
        <f>CONCATENATE("11 11.2 4b")</f>
        <v>11 11.2 4b</v>
      </c>
      <c r="M1709" s="3" t="str">
        <f>CONCATENATE("MBLGLC83B25H769T")</f>
        <v>MBLGLC83B25H769T</v>
      </c>
      <c r="N1709" s="3" t="s">
        <v>1735</v>
      </c>
      <c r="O1709" s="3"/>
      <c r="P1709" s="4">
        <v>42783</v>
      </c>
      <c r="Q1709" s="3" t="s">
        <v>27</v>
      </c>
      <c r="R1709" s="3" t="s">
        <v>28</v>
      </c>
      <c r="S1709" s="3" t="s">
        <v>29</v>
      </c>
      <c r="T1709" s="5">
        <v>4656.7</v>
      </c>
      <c r="U1709" s="5">
        <v>2007.97</v>
      </c>
      <c r="V1709" s="5">
        <v>1854.3</v>
      </c>
      <c r="W1709" s="3">
        <v>794.43</v>
      </c>
    </row>
    <row r="1710" spans="1:23" ht="60.75">
      <c r="A1710" s="3" t="s">
        <v>23</v>
      </c>
      <c r="B1710" s="3" t="s">
        <v>24</v>
      </c>
      <c r="C1710" s="3" t="s">
        <v>35</v>
      </c>
      <c r="D1710" s="3" t="s">
        <v>48</v>
      </c>
      <c r="E1710" s="3" t="s">
        <v>30</v>
      </c>
      <c r="F1710" s="3" t="s">
        <v>157</v>
      </c>
      <c r="G1710" s="3">
        <v>2016</v>
      </c>
      <c r="H1710" s="3" t="str">
        <f>CONCATENATE("64210961955")</f>
        <v>64210961955</v>
      </c>
      <c r="I1710" s="3" t="s">
        <v>25</v>
      </c>
      <c r="J1710" s="3" t="s">
        <v>26</v>
      </c>
      <c r="K1710" s="3" t="str">
        <f t="shared" ref="K1710:K1744" si="58">CONCATENATE("")</f>
        <v/>
      </c>
      <c r="L1710" s="3" t="str">
        <f>CONCATENATE("13 13.1 4a")</f>
        <v>13 13.1 4a</v>
      </c>
      <c r="M1710" s="3" t="str">
        <f>CONCATENATE("RSLDNL94T30A252S")</f>
        <v>RSLDNL94T30A252S</v>
      </c>
      <c r="N1710" s="3" t="s">
        <v>1736</v>
      </c>
      <c r="O1710" s="3"/>
      <c r="P1710" s="4">
        <v>42783</v>
      </c>
      <c r="Q1710" s="3" t="s">
        <v>27</v>
      </c>
      <c r="R1710" s="3" t="s">
        <v>28</v>
      </c>
      <c r="S1710" s="3" t="s">
        <v>29</v>
      </c>
      <c r="T1710" s="5">
        <v>1388.93</v>
      </c>
      <c r="U1710" s="3">
        <v>598.91</v>
      </c>
      <c r="V1710" s="3">
        <v>553.07000000000005</v>
      </c>
      <c r="W1710" s="3">
        <v>236.95</v>
      </c>
    </row>
    <row r="1711" spans="1:23" ht="60.75">
      <c r="A1711" s="3" t="s">
        <v>23</v>
      </c>
      <c r="B1711" s="3" t="s">
        <v>24</v>
      </c>
      <c r="C1711" s="3" t="s">
        <v>35</v>
      </c>
      <c r="D1711" s="3" t="s">
        <v>43</v>
      </c>
      <c r="E1711" s="3" t="s">
        <v>34</v>
      </c>
      <c r="F1711" s="3" t="s">
        <v>146</v>
      </c>
      <c r="G1711" s="3">
        <v>2016</v>
      </c>
      <c r="H1711" s="3" t="str">
        <f>CONCATENATE("64240151296")</f>
        <v>64240151296</v>
      </c>
      <c r="I1711" s="3" t="s">
        <v>25</v>
      </c>
      <c r="J1711" s="3" t="s">
        <v>26</v>
      </c>
      <c r="K1711" s="3" t="str">
        <f t="shared" si="58"/>
        <v/>
      </c>
      <c r="L1711" s="3" t="str">
        <f>CONCATENATE("11 11.1 4b")</f>
        <v>11 11.1 4b</v>
      </c>
      <c r="M1711" s="3" t="str">
        <f>CONCATENATE("PRNPLA61C29F347G")</f>
        <v>PRNPLA61C29F347G</v>
      </c>
      <c r="N1711" s="3" t="s">
        <v>1737</v>
      </c>
      <c r="O1711" s="3"/>
      <c r="P1711" s="4">
        <v>42783</v>
      </c>
      <c r="Q1711" s="3" t="s">
        <v>27</v>
      </c>
      <c r="R1711" s="3" t="s">
        <v>28</v>
      </c>
      <c r="S1711" s="3" t="s">
        <v>29</v>
      </c>
      <c r="T1711" s="5">
        <v>2588.15</v>
      </c>
      <c r="U1711" s="5">
        <v>1116.01</v>
      </c>
      <c r="V1711" s="5">
        <v>1030.5999999999999</v>
      </c>
      <c r="W1711" s="3">
        <v>441.54</v>
      </c>
    </row>
    <row r="1712" spans="1:23" ht="36.75">
      <c r="A1712" s="3" t="s">
        <v>23</v>
      </c>
      <c r="B1712" s="3" t="s">
        <v>24</v>
      </c>
      <c r="C1712" s="3" t="s">
        <v>35</v>
      </c>
      <c r="D1712" s="3" t="s">
        <v>48</v>
      </c>
      <c r="E1712" s="3" t="s">
        <v>30</v>
      </c>
      <c r="F1712" s="3" t="s">
        <v>111</v>
      </c>
      <c r="G1712" s="3">
        <v>2016</v>
      </c>
      <c r="H1712" s="3" t="str">
        <f>CONCATENATE("64240822276")</f>
        <v>64240822276</v>
      </c>
      <c r="I1712" s="3" t="s">
        <v>25</v>
      </c>
      <c r="J1712" s="3" t="s">
        <v>26</v>
      </c>
      <c r="K1712" s="3" t="str">
        <f t="shared" si="58"/>
        <v/>
      </c>
      <c r="L1712" s="3" t="str">
        <f>CONCATENATE("11 11.1 4b")</f>
        <v>11 11.1 4b</v>
      </c>
      <c r="M1712" s="3" t="str">
        <f>CONCATENATE("01914050438")</f>
        <v>01914050438</v>
      </c>
      <c r="N1712" s="3" t="s">
        <v>1738</v>
      </c>
      <c r="O1712" s="3"/>
      <c r="P1712" s="4">
        <v>42783</v>
      </c>
      <c r="Q1712" s="3" t="s">
        <v>27</v>
      </c>
      <c r="R1712" s="3" t="s">
        <v>28</v>
      </c>
      <c r="S1712" s="3" t="s">
        <v>29</v>
      </c>
      <c r="T1712" s="5">
        <v>2654.61</v>
      </c>
      <c r="U1712" s="5">
        <v>1144.67</v>
      </c>
      <c r="V1712" s="5">
        <v>1057.07</v>
      </c>
      <c r="W1712" s="3">
        <v>452.87</v>
      </c>
    </row>
    <row r="1713" spans="1:23" ht="72.75">
      <c r="A1713" s="3" t="s">
        <v>23</v>
      </c>
      <c r="B1713" s="3" t="s">
        <v>24</v>
      </c>
      <c r="C1713" s="3" t="s">
        <v>35</v>
      </c>
      <c r="D1713" s="3" t="s">
        <v>36</v>
      </c>
      <c r="E1713" s="3" t="s">
        <v>30</v>
      </c>
      <c r="F1713" s="3" t="s">
        <v>37</v>
      </c>
      <c r="G1713" s="3">
        <v>2016</v>
      </c>
      <c r="H1713" s="3" t="str">
        <f>CONCATENATE("64210682338")</f>
        <v>64210682338</v>
      </c>
      <c r="I1713" s="3" t="s">
        <v>25</v>
      </c>
      <c r="J1713" s="3" t="s">
        <v>26</v>
      </c>
      <c r="K1713" s="3" t="str">
        <f t="shared" si="58"/>
        <v/>
      </c>
      <c r="L1713" s="3" t="str">
        <f>CONCATENATE("13 13.1 4a")</f>
        <v>13 13.1 4a</v>
      </c>
      <c r="M1713" s="3" t="str">
        <f>CONCATENATE("BSSRMN55S12I315N")</f>
        <v>BSSRMN55S12I315N</v>
      </c>
      <c r="N1713" s="3" t="s">
        <v>1739</v>
      </c>
      <c r="O1713" s="3"/>
      <c r="P1713" s="4">
        <v>42783</v>
      </c>
      <c r="Q1713" s="3" t="s">
        <v>27</v>
      </c>
      <c r="R1713" s="3" t="s">
        <v>28</v>
      </c>
      <c r="S1713" s="3" t="s">
        <v>29</v>
      </c>
      <c r="T1713" s="3">
        <v>848.88</v>
      </c>
      <c r="U1713" s="3">
        <v>366.04</v>
      </c>
      <c r="V1713" s="3">
        <v>338.02</v>
      </c>
      <c r="W1713" s="3">
        <v>144.82</v>
      </c>
    </row>
    <row r="1714" spans="1:23" ht="36.75">
      <c r="A1714" s="3" t="s">
        <v>23</v>
      </c>
      <c r="B1714" s="3" t="s">
        <v>24</v>
      </c>
      <c r="C1714" s="3" t="s">
        <v>35</v>
      </c>
      <c r="D1714" s="3" t="s">
        <v>48</v>
      </c>
      <c r="E1714" s="3" t="s">
        <v>34</v>
      </c>
      <c r="F1714" s="3" t="s">
        <v>141</v>
      </c>
      <c r="G1714" s="3">
        <v>2016</v>
      </c>
      <c r="H1714" s="3" t="str">
        <f>CONCATENATE("64240733812")</f>
        <v>64240733812</v>
      </c>
      <c r="I1714" s="3" t="s">
        <v>25</v>
      </c>
      <c r="J1714" s="3" t="s">
        <v>26</v>
      </c>
      <c r="K1714" s="3" t="str">
        <f t="shared" si="58"/>
        <v/>
      </c>
      <c r="L1714" s="3" t="str">
        <f>CONCATENATE("11 11.2 4b")</f>
        <v>11 11.2 4b</v>
      </c>
      <c r="M1714" s="3" t="str">
        <f>CONCATENATE("00874450430")</f>
        <v>00874450430</v>
      </c>
      <c r="N1714" s="3" t="s">
        <v>1740</v>
      </c>
      <c r="O1714" s="3"/>
      <c r="P1714" s="4">
        <v>42783</v>
      </c>
      <c r="Q1714" s="3" t="s">
        <v>27</v>
      </c>
      <c r="R1714" s="3" t="s">
        <v>28</v>
      </c>
      <c r="S1714" s="3" t="s">
        <v>29</v>
      </c>
      <c r="T1714" s="5">
        <v>1620.3</v>
      </c>
      <c r="U1714" s="3">
        <v>698.67</v>
      </c>
      <c r="V1714" s="3">
        <v>645.20000000000005</v>
      </c>
      <c r="W1714" s="3">
        <v>276.43</v>
      </c>
    </row>
    <row r="1715" spans="1:23" ht="60.75">
      <c r="A1715" s="3" t="s">
        <v>23</v>
      </c>
      <c r="B1715" s="3" t="s">
        <v>24</v>
      </c>
      <c r="C1715" s="3" t="s">
        <v>35</v>
      </c>
      <c r="D1715" s="3" t="s">
        <v>48</v>
      </c>
      <c r="E1715" s="3" t="s">
        <v>49</v>
      </c>
      <c r="F1715" s="3" t="s">
        <v>50</v>
      </c>
      <c r="G1715" s="3">
        <v>2016</v>
      </c>
      <c r="H1715" s="3" t="str">
        <f>CONCATENATE("64240316485")</f>
        <v>64240316485</v>
      </c>
      <c r="I1715" s="3" t="s">
        <v>31</v>
      </c>
      <c r="J1715" s="3" t="s">
        <v>26</v>
      </c>
      <c r="K1715" s="3" t="str">
        <f t="shared" si="58"/>
        <v/>
      </c>
      <c r="L1715" s="3" t="str">
        <f>CONCATENATE("11 11.1 4b")</f>
        <v>11 11.1 4b</v>
      </c>
      <c r="M1715" s="3" t="str">
        <f>CONCATENATE("MZZMTT82L30L366X")</f>
        <v>MZZMTT82L30L366X</v>
      </c>
      <c r="N1715" s="3" t="s">
        <v>1741</v>
      </c>
      <c r="O1715" s="3"/>
      <c r="P1715" s="4">
        <v>42783</v>
      </c>
      <c r="Q1715" s="3" t="s">
        <v>27</v>
      </c>
      <c r="R1715" s="3" t="s">
        <v>28</v>
      </c>
      <c r="S1715" s="3" t="s">
        <v>29</v>
      </c>
      <c r="T1715" s="5">
        <v>1183.6400000000001</v>
      </c>
      <c r="U1715" s="3">
        <v>510.39</v>
      </c>
      <c r="V1715" s="3">
        <v>471.33</v>
      </c>
      <c r="W1715" s="3">
        <v>201.92</v>
      </c>
    </row>
    <row r="1716" spans="1:23" ht="60.75">
      <c r="A1716" s="3" t="s">
        <v>23</v>
      </c>
      <c r="B1716" s="3" t="s">
        <v>24</v>
      </c>
      <c r="C1716" s="3" t="s">
        <v>35</v>
      </c>
      <c r="D1716" s="3" t="s">
        <v>48</v>
      </c>
      <c r="E1716" s="3" t="s">
        <v>30</v>
      </c>
      <c r="F1716" s="3" t="s">
        <v>91</v>
      </c>
      <c r="G1716" s="3">
        <v>2016</v>
      </c>
      <c r="H1716" s="3" t="str">
        <f>CONCATENATE("64210573263")</f>
        <v>64210573263</v>
      </c>
      <c r="I1716" s="3" t="s">
        <v>25</v>
      </c>
      <c r="J1716" s="3" t="s">
        <v>26</v>
      </c>
      <c r="K1716" s="3" t="str">
        <f t="shared" si="58"/>
        <v/>
      </c>
      <c r="L1716" s="3" t="str">
        <f>CONCATENATE("13 13.1 4a")</f>
        <v>13 13.1 4a</v>
      </c>
      <c r="M1716" s="3" t="str">
        <f>CONCATENATE("FDLZEI48B19I661A")</f>
        <v>FDLZEI48B19I661A</v>
      </c>
      <c r="N1716" s="3" t="s">
        <v>1742</v>
      </c>
      <c r="O1716" s="3"/>
      <c r="P1716" s="4">
        <v>42783</v>
      </c>
      <c r="Q1716" s="3" t="s">
        <v>27</v>
      </c>
      <c r="R1716" s="3" t="s">
        <v>28</v>
      </c>
      <c r="S1716" s="3" t="s">
        <v>29</v>
      </c>
      <c r="T1716" s="5">
        <v>2726</v>
      </c>
      <c r="U1716" s="5">
        <v>1175.45</v>
      </c>
      <c r="V1716" s="5">
        <v>1085.49</v>
      </c>
      <c r="W1716" s="3">
        <v>465.06</v>
      </c>
    </row>
    <row r="1717" spans="1:23" ht="72.75">
      <c r="A1717" s="3" t="s">
        <v>23</v>
      </c>
      <c r="B1717" s="3" t="s">
        <v>24</v>
      </c>
      <c r="C1717" s="3" t="s">
        <v>35</v>
      </c>
      <c r="D1717" s="3" t="s">
        <v>39</v>
      </c>
      <c r="E1717" s="3" t="s">
        <v>32</v>
      </c>
      <c r="F1717" s="3" t="s">
        <v>69</v>
      </c>
      <c r="G1717" s="3">
        <v>2016</v>
      </c>
      <c r="H1717" s="3" t="str">
        <f>CONCATENATE("64240500765")</f>
        <v>64240500765</v>
      </c>
      <c r="I1717" s="3" t="s">
        <v>25</v>
      </c>
      <c r="J1717" s="3" t="s">
        <v>26</v>
      </c>
      <c r="K1717" s="3" t="str">
        <f t="shared" si="58"/>
        <v/>
      </c>
      <c r="L1717" s="3" t="str">
        <f>CONCATENATE("11 11.2 4b")</f>
        <v>11 11.2 4b</v>
      </c>
      <c r="M1717" s="3" t="str">
        <f>CONCATENATE("PLCGRL75A23A366A")</f>
        <v>PLCGRL75A23A366A</v>
      </c>
      <c r="N1717" s="3" t="s">
        <v>1743</v>
      </c>
      <c r="O1717" s="3"/>
      <c r="P1717" s="4">
        <v>42783</v>
      </c>
      <c r="Q1717" s="3" t="s">
        <v>27</v>
      </c>
      <c r="R1717" s="3" t="s">
        <v>28</v>
      </c>
      <c r="S1717" s="3" t="s">
        <v>29</v>
      </c>
      <c r="T1717" s="5">
        <v>9386.58</v>
      </c>
      <c r="U1717" s="5">
        <v>4047.49</v>
      </c>
      <c r="V1717" s="5">
        <v>3737.74</v>
      </c>
      <c r="W1717" s="5">
        <v>1601.35</v>
      </c>
    </row>
    <row r="1718" spans="1:23" ht="72.75">
      <c r="A1718" s="3" t="s">
        <v>23</v>
      </c>
      <c r="B1718" s="3" t="s">
        <v>24</v>
      </c>
      <c r="C1718" s="3" t="s">
        <v>35</v>
      </c>
      <c r="D1718" s="3" t="s">
        <v>36</v>
      </c>
      <c r="E1718" s="3" t="s">
        <v>34</v>
      </c>
      <c r="F1718" s="3" t="s">
        <v>273</v>
      </c>
      <c r="G1718" s="3">
        <v>2016</v>
      </c>
      <c r="H1718" s="3" t="str">
        <f>CONCATENATE("64240449898")</f>
        <v>64240449898</v>
      </c>
      <c r="I1718" s="3" t="s">
        <v>31</v>
      </c>
      <c r="J1718" s="3" t="s">
        <v>26</v>
      </c>
      <c r="K1718" s="3" t="str">
        <f t="shared" si="58"/>
        <v/>
      </c>
      <c r="L1718" s="3" t="str">
        <f>CONCATENATE("11 11.1 4b")</f>
        <v>11 11.1 4b</v>
      </c>
      <c r="M1718" s="3" t="str">
        <f>CONCATENATE("CMDGCR60M16H182R")</f>
        <v>CMDGCR60M16H182R</v>
      </c>
      <c r="N1718" s="3" t="s">
        <v>1744</v>
      </c>
      <c r="O1718" s="3"/>
      <c r="P1718" s="4">
        <v>42783</v>
      </c>
      <c r="Q1718" s="3" t="s">
        <v>27</v>
      </c>
      <c r="R1718" s="3" t="s">
        <v>28</v>
      </c>
      <c r="S1718" s="3" t="s">
        <v>29</v>
      </c>
      <c r="T1718" s="3">
        <v>484.23</v>
      </c>
      <c r="U1718" s="3">
        <v>208.8</v>
      </c>
      <c r="V1718" s="3">
        <v>192.82</v>
      </c>
      <c r="W1718" s="3">
        <v>82.61</v>
      </c>
    </row>
    <row r="1719" spans="1:23" ht="36.75">
      <c r="A1719" s="3" t="s">
        <v>23</v>
      </c>
      <c r="B1719" s="3" t="s">
        <v>24</v>
      </c>
      <c r="C1719" s="3" t="s">
        <v>35</v>
      </c>
      <c r="D1719" s="3" t="s">
        <v>39</v>
      </c>
      <c r="E1719" s="3" t="s">
        <v>30</v>
      </c>
      <c r="F1719" s="3" t="s">
        <v>72</v>
      </c>
      <c r="G1719" s="3">
        <v>2016</v>
      </c>
      <c r="H1719" s="3" t="str">
        <f>CONCATENATE("64240577623")</f>
        <v>64240577623</v>
      </c>
      <c r="I1719" s="3" t="s">
        <v>31</v>
      </c>
      <c r="J1719" s="3" t="s">
        <v>26</v>
      </c>
      <c r="K1719" s="3" t="str">
        <f t="shared" si="58"/>
        <v/>
      </c>
      <c r="L1719" s="3" t="str">
        <f>CONCATENATE("11 11.2 4b")</f>
        <v>11 11.2 4b</v>
      </c>
      <c r="M1719" s="3" t="str">
        <f>CONCATENATE("02510910421")</f>
        <v>02510910421</v>
      </c>
      <c r="N1719" s="3" t="s">
        <v>1745</v>
      </c>
      <c r="O1719" s="3"/>
      <c r="P1719" s="4">
        <v>42783</v>
      </c>
      <c r="Q1719" s="3" t="s">
        <v>27</v>
      </c>
      <c r="R1719" s="3" t="s">
        <v>28</v>
      </c>
      <c r="S1719" s="3" t="s">
        <v>29</v>
      </c>
      <c r="T1719" s="5">
        <v>1222.3399999999999</v>
      </c>
      <c r="U1719" s="3">
        <v>527.07000000000005</v>
      </c>
      <c r="V1719" s="3">
        <v>486.74</v>
      </c>
      <c r="W1719" s="3">
        <v>208.53</v>
      </c>
    </row>
    <row r="1720" spans="1:23" ht="36.75">
      <c r="A1720" s="3" t="s">
        <v>23</v>
      </c>
      <c r="B1720" s="3" t="s">
        <v>24</v>
      </c>
      <c r="C1720" s="3" t="s">
        <v>35</v>
      </c>
      <c r="D1720" s="3" t="s">
        <v>36</v>
      </c>
      <c r="E1720" s="3" t="s">
        <v>49</v>
      </c>
      <c r="F1720" s="3" t="s">
        <v>50</v>
      </c>
      <c r="G1720" s="3">
        <v>2016</v>
      </c>
      <c r="H1720" s="3" t="str">
        <f>CONCATENATE("64240434619")</f>
        <v>64240434619</v>
      </c>
      <c r="I1720" s="3" t="s">
        <v>25</v>
      </c>
      <c r="J1720" s="3" t="s">
        <v>26</v>
      </c>
      <c r="K1720" s="3" t="str">
        <f t="shared" si="58"/>
        <v/>
      </c>
      <c r="L1720" s="3" t="str">
        <f>CONCATENATE("11 11.2 4b")</f>
        <v>11 11.2 4b</v>
      </c>
      <c r="M1720" s="3" t="str">
        <f>CONCATENATE("01148850447")</f>
        <v>01148850447</v>
      </c>
      <c r="N1720" s="3" t="s">
        <v>1746</v>
      </c>
      <c r="O1720" s="3"/>
      <c r="P1720" s="4">
        <v>42783</v>
      </c>
      <c r="Q1720" s="3" t="s">
        <v>27</v>
      </c>
      <c r="R1720" s="3" t="s">
        <v>28</v>
      </c>
      <c r="S1720" s="3" t="s">
        <v>29</v>
      </c>
      <c r="T1720" s="3">
        <v>839.66</v>
      </c>
      <c r="U1720" s="3">
        <v>362.06</v>
      </c>
      <c r="V1720" s="3">
        <v>334.35</v>
      </c>
      <c r="W1720" s="3">
        <v>143.25</v>
      </c>
    </row>
    <row r="1721" spans="1:23" ht="60.75">
      <c r="A1721" s="3" t="s">
        <v>23</v>
      </c>
      <c r="B1721" s="3" t="s">
        <v>24</v>
      </c>
      <c r="C1721" s="3" t="s">
        <v>35</v>
      </c>
      <c r="D1721" s="3" t="s">
        <v>48</v>
      </c>
      <c r="E1721" s="3" t="s">
        <v>30</v>
      </c>
      <c r="F1721" s="3" t="s">
        <v>57</v>
      </c>
      <c r="G1721" s="3">
        <v>2016</v>
      </c>
      <c r="H1721" s="3" t="str">
        <f>CONCATENATE("64240338059")</f>
        <v>64240338059</v>
      </c>
      <c r="I1721" s="3" t="s">
        <v>25</v>
      </c>
      <c r="J1721" s="3" t="s">
        <v>26</v>
      </c>
      <c r="K1721" s="3" t="str">
        <f t="shared" si="58"/>
        <v/>
      </c>
      <c r="L1721" s="3" t="str">
        <f>CONCATENATE("11 11.2 4b")</f>
        <v>11 11.2 4b</v>
      </c>
      <c r="M1721" s="3" t="str">
        <f>CONCATENATE("FLCMRA52L67A739C")</f>
        <v>FLCMRA52L67A739C</v>
      </c>
      <c r="N1721" s="3" t="s">
        <v>1747</v>
      </c>
      <c r="O1721" s="3"/>
      <c r="P1721" s="4">
        <v>42783</v>
      </c>
      <c r="Q1721" s="3" t="s">
        <v>27</v>
      </c>
      <c r="R1721" s="3" t="s">
        <v>28</v>
      </c>
      <c r="S1721" s="3" t="s">
        <v>29</v>
      </c>
      <c r="T1721" s="5">
        <v>2330.86</v>
      </c>
      <c r="U1721" s="5">
        <v>1005.07</v>
      </c>
      <c r="V1721" s="3">
        <v>928.15</v>
      </c>
      <c r="W1721" s="3">
        <v>397.64</v>
      </c>
    </row>
    <row r="1722" spans="1:23" ht="60.75">
      <c r="A1722" s="3" t="s">
        <v>23</v>
      </c>
      <c r="B1722" s="3" t="s">
        <v>24</v>
      </c>
      <c r="C1722" s="3" t="s">
        <v>35</v>
      </c>
      <c r="D1722" s="3" t="s">
        <v>36</v>
      </c>
      <c r="E1722" s="3" t="s">
        <v>30</v>
      </c>
      <c r="F1722" s="3" t="s">
        <v>37</v>
      </c>
      <c r="G1722" s="3">
        <v>2016</v>
      </c>
      <c r="H1722" s="3" t="str">
        <f>CONCATENATE("64240479135")</f>
        <v>64240479135</v>
      </c>
      <c r="I1722" s="3" t="s">
        <v>25</v>
      </c>
      <c r="J1722" s="3" t="s">
        <v>26</v>
      </c>
      <c r="K1722" s="3" t="str">
        <f t="shared" si="58"/>
        <v/>
      </c>
      <c r="L1722" s="3" t="str">
        <f>CONCATENATE("10 10.1 4b")</f>
        <v>10 10.1 4b</v>
      </c>
      <c r="M1722" s="3" t="str">
        <f>CONCATENATE("CRLDNL62T09F415K")</f>
        <v>CRLDNL62T09F415K</v>
      </c>
      <c r="N1722" s="3" t="s">
        <v>1748</v>
      </c>
      <c r="O1722" s="3"/>
      <c r="P1722" s="4">
        <v>42783</v>
      </c>
      <c r="Q1722" s="3" t="s">
        <v>27</v>
      </c>
      <c r="R1722" s="3" t="s">
        <v>28</v>
      </c>
      <c r="S1722" s="3" t="s">
        <v>29</v>
      </c>
      <c r="T1722" s="5">
        <v>4050.53</v>
      </c>
      <c r="U1722" s="5">
        <v>1746.59</v>
      </c>
      <c r="V1722" s="5">
        <v>1612.92</v>
      </c>
      <c r="W1722" s="3">
        <v>691.02</v>
      </c>
    </row>
    <row r="1723" spans="1:23" ht="60.75">
      <c r="A1723" s="3" t="s">
        <v>23</v>
      </c>
      <c r="B1723" s="3" t="s">
        <v>24</v>
      </c>
      <c r="C1723" s="3" t="s">
        <v>35</v>
      </c>
      <c r="D1723" s="3" t="s">
        <v>39</v>
      </c>
      <c r="E1723" s="3" t="s">
        <v>32</v>
      </c>
      <c r="F1723" s="3" t="s">
        <v>69</v>
      </c>
      <c r="G1723" s="3">
        <v>2016</v>
      </c>
      <c r="H1723" s="3" t="str">
        <f>CONCATENATE("64240861084")</f>
        <v>64240861084</v>
      </c>
      <c r="I1723" s="3" t="s">
        <v>25</v>
      </c>
      <c r="J1723" s="3" t="s">
        <v>26</v>
      </c>
      <c r="K1723" s="3" t="str">
        <f t="shared" si="58"/>
        <v/>
      </c>
      <c r="L1723" s="3" t="str">
        <f>CONCATENATE("11 11.1 4b")</f>
        <v>11 11.1 4b</v>
      </c>
      <c r="M1723" s="3" t="str">
        <f>CONCATENATE("BNCLCU92C03D451C")</f>
        <v>BNCLCU92C03D451C</v>
      </c>
      <c r="N1723" s="3" t="s">
        <v>1749</v>
      </c>
      <c r="O1723" s="3"/>
      <c r="P1723" s="4">
        <v>42783</v>
      </c>
      <c r="Q1723" s="3" t="s">
        <v>27</v>
      </c>
      <c r="R1723" s="3" t="s">
        <v>28</v>
      </c>
      <c r="S1723" s="3" t="s">
        <v>29</v>
      </c>
      <c r="T1723" s="3">
        <v>982.53</v>
      </c>
      <c r="U1723" s="3">
        <v>423.67</v>
      </c>
      <c r="V1723" s="3">
        <v>391.24</v>
      </c>
      <c r="W1723" s="3">
        <v>167.62</v>
      </c>
    </row>
    <row r="1724" spans="1:23" ht="60.75">
      <c r="A1724" s="3" t="s">
        <v>23</v>
      </c>
      <c r="B1724" s="3" t="s">
        <v>24</v>
      </c>
      <c r="C1724" s="3" t="s">
        <v>35</v>
      </c>
      <c r="D1724" s="3" t="s">
        <v>43</v>
      </c>
      <c r="E1724" s="3" t="s">
        <v>32</v>
      </c>
      <c r="F1724" s="3" t="s">
        <v>119</v>
      </c>
      <c r="G1724" s="3">
        <v>2016</v>
      </c>
      <c r="H1724" s="3" t="str">
        <f>CONCATENATE("64210817298")</f>
        <v>64210817298</v>
      </c>
      <c r="I1724" s="3" t="s">
        <v>25</v>
      </c>
      <c r="J1724" s="3" t="s">
        <v>26</v>
      </c>
      <c r="K1724" s="3" t="str">
        <f t="shared" si="58"/>
        <v/>
      </c>
      <c r="L1724" s="3" t="str">
        <f>CONCATENATE("13 13.1 4a")</f>
        <v>13 13.1 4a</v>
      </c>
      <c r="M1724" s="3" t="str">
        <f>CONCATENATE("PRZDRN72P16G453C")</f>
        <v>PRZDRN72P16G453C</v>
      </c>
      <c r="N1724" s="3" t="s">
        <v>1750</v>
      </c>
      <c r="O1724" s="3"/>
      <c r="P1724" s="4">
        <v>42783</v>
      </c>
      <c r="Q1724" s="3" t="s">
        <v>27</v>
      </c>
      <c r="R1724" s="3" t="s">
        <v>28</v>
      </c>
      <c r="S1724" s="3" t="s">
        <v>29</v>
      </c>
      <c r="T1724" s="5">
        <v>2689.83</v>
      </c>
      <c r="U1724" s="5">
        <v>1159.8499999999999</v>
      </c>
      <c r="V1724" s="5">
        <v>1071.0899999999999</v>
      </c>
      <c r="W1724" s="3">
        <v>458.89</v>
      </c>
    </row>
    <row r="1725" spans="1:23" ht="60.75">
      <c r="A1725" s="3" t="s">
        <v>23</v>
      </c>
      <c r="B1725" s="3" t="s">
        <v>24</v>
      </c>
      <c r="C1725" s="3" t="s">
        <v>35</v>
      </c>
      <c r="D1725" s="3" t="s">
        <v>43</v>
      </c>
      <c r="E1725" s="3" t="s">
        <v>30</v>
      </c>
      <c r="F1725" s="3" t="s">
        <v>131</v>
      </c>
      <c r="G1725" s="3">
        <v>2016</v>
      </c>
      <c r="H1725" s="3" t="str">
        <f>CONCATENATE("64240374047")</f>
        <v>64240374047</v>
      </c>
      <c r="I1725" s="3" t="s">
        <v>25</v>
      </c>
      <c r="J1725" s="3" t="s">
        <v>26</v>
      </c>
      <c r="K1725" s="3" t="str">
        <f t="shared" si="58"/>
        <v/>
      </c>
      <c r="L1725" s="3" t="str">
        <f>CONCATENATE("11 11.2 4b")</f>
        <v>11 11.2 4b</v>
      </c>
      <c r="M1725" s="3" t="str">
        <f>CONCATENATE("ZFFGRG65R15E351P")</f>
        <v>ZFFGRG65R15E351P</v>
      </c>
      <c r="N1725" s="3" t="s">
        <v>1751</v>
      </c>
      <c r="O1725" s="3"/>
      <c r="P1725" s="4">
        <v>42783</v>
      </c>
      <c r="Q1725" s="3" t="s">
        <v>27</v>
      </c>
      <c r="R1725" s="3" t="s">
        <v>28</v>
      </c>
      <c r="S1725" s="3" t="s">
        <v>29</v>
      </c>
      <c r="T1725" s="5">
        <v>1394.48</v>
      </c>
      <c r="U1725" s="3">
        <v>601.29999999999995</v>
      </c>
      <c r="V1725" s="3">
        <v>555.28</v>
      </c>
      <c r="W1725" s="3">
        <v>237.9</v>
      </c>
    </row>
    <row r="1726" spans="1:23" ht="60.75">
      <c r="A1726" s="3" t="s">
        <v>23</v>
      </c>
      <c r="B1726" s="3" t="s">
        <v>24</v>
      </c>
      <c r="C1726" s="3" t="s">
        <v>35</v>
      </c>
      <c r="D1726" s="3" t="s">
        <v>36</v>
      </c>
      <c r="E1726" s="3" t="s">
        <v>30</v>
      </c>
      <c r="F1726" s="3" t="s">
        <v>37</v>
      </c>
      <c r="G1726" s="3">
        <v>2016</v>
      </c>
      <c r="H1726" s="3" t="str">
        <f>CONCATENATE("64210431850")</f>
        <v>64210431850</v>
      </c>
      <c r="I1726" s="3" t="s">
        <v>25</v>
      </c>
      <c r="J1726" s="3" t="s">
        <v>26</v>
      </c>
      <c r="K1726" s="3" t="str">
        <f t="shared" si="58"/>
        <v/>
      </c>
      <c r="L1726" s="3" t="str">
        <f>CONCATENATE("13 13.1 4a")</f>
        <v>13 13.1 4a</v>
      </c>
      <c r="M1726" s="3" t="str">
        <f>CONCATENATE("SCCDNC41E17F509Q")</f>
        <v>SCCDNC41E17F509Q</v>
      </c>
      <c r="N1726" s="3" t="s">
        <v>1752</v>
      </c>
      <c r="O1726" s="3"/>
      <c r="P1726" s="4">
        <v>42783</v>
      </c>
      <c r="Q1726" s="3" t="s">
        <v>27</v>
      </c>
      <c r="R1726" s="3" t="s">
        <v>28</v>
      </c>
      <c r="S1726" s="3" t="s">
        <v>29</v>
      </c>
      <c r="T1726" s="3">
        <v>922.28</v>
      </c>
      <c r="U1726" s="3">
        <v>397.69</v>
      </c>
      <c r="V1726" s="3">
        <v>367.25</v>
      </c>
      <c r="W1726" s="3">
        <v>157.34</v>
      </c>
    </row>
    <row r="1727" spans="1:23" ht="72.75">
      <c r="A1727" s="3" t="s">
        <v>23</v>
      </c>
      <c r="B1727" s="3" t="s">
        <v>24</v>
      </c>
      <c r="C1727" s="3" t="s">
        <v>35</v>
      </c>
      <c r="D1727" s="3" t="s">
        <v>48</v>
      </c>
      <c r="E1727" s="3" t="s">
        <v>49</v>
      </c>
      <c r="F1727" s="3" t="s">
        <v>50</v>
      </c>
      <c r="G1727" s="3">
        <v>2016</v>
      </c>
      <c r="H1727" s="3" t="str">
        <f>CONCATENATE("64240462842")</f>
        <v>64240462842</v>
      </c>
      <c r="I1727" s="3" t="s">
        <v>31</v>
      </c>
      <c r="J1727" s="3" t="s">
        <v>26</v>
      </c>
      <c r="K1727" s="3" t="str">
        <f t="shared" si="58"/>
        <v/>
      </c>
      <c r="L1727" s="3" t="str">
        <f>CONCATENATE("11 11.2 4b")</f>
        <v>11 11.2 4b</v>
      </c>
      <c r="M1727" s="3" t="str">
        <f>CONCATENATE("NSTGPP54D29H501N")</f>
        <v>NSTGPP54D29H501N</v>
      </c>
      <c r="N1727" s="3" t="s">
        <v>1753</v>
      </c>
      <c r="O1727" s="3"/>
      <c r="P1727" s="4">
        <v>42783</v>
      </c>
      <c r="Q1727" s="3" t="s">
        <v>27</v>
      </c>
      <c r="R1727" s="3" t="s">
        <v>28</v>
      </c>
      <c r="S1727" s="3" t="s">
        <v>29</v>
      </c>
      <c r="T1727" s="5">
        <v>1817.74</v>
      </c>
      <c r="U1727" s="3">
        <v>783.81</v>
      </c>
      <c r="V1727" s="3">
        <v>723.82</v>
      </c>
      <c r="W1727" s="3">
        <v>310.11</v>
      </c>
    </row>
    <row r="1728" spans="1:23" ht="60.75">
      <c r="A1728" s="3" t="s">
        <v>23</v>
      </c>
      <c r="B1728" s="3" t="s">
        <v>24</v>
      </c>
      <c r="C1728" s="3" t="s">
        <v>35</v>
      </c>
      <c r="D1728" s="3" t="s">
        <v>39</v>
      </c>
      <c r="E1728" s="3" t="s">
        <v>33</v>
      </c>
      <c r="F1728" s="3" t="s">
        <v>498</v>
      </c>
      <c r="G1728" s="3">
        <v>2016</v>
      </c>
      <c r="H1728" s="3" t="str">
        <f>CONCATENATE("64210206005")</f>
        <v>64210206005</v>
      </c>
      <c r="I1728" s="3" t="s">
        <v>25</v>
      </c>
      <c r="J1728" s="3" t="s">
        <v>26</v>
      </c>
      <c r="K1728" s="3" t="str">
        <f t="shared" si="58"/>
        <v/>
      </c>
      <c r="L1728" s="3" t="str">
        <f>CONCATENATE("13 13.1 4a")</f>
        <v>13 13.1 4a</v>
      </c>
      <c r="M1728" s="3" t="str">
        <f>CONCATENATE("FRRRNG41S28D451L")</f>
        <v>FRRRNG41S28D451L</v>
      </c>
      <c r="N1728" s="3" t="s">
        <v>827</v>
      </c>
      <c r="O1728" s="3"/>
      <c r="P1728" s="4">
        <v>42783</v>
      </c>
      <c r="Q1728" s="3" t="s">
        <v>27</v>
      </c>
      <c r="R1728" s="3" t="s">
        <v>28</v>
      </c>
      <c r="S1728" s="3" t="s">
        <v>29</v>
      </c>
      <c r="T1728" s="5">
        <v>4590</v>
      </c>
      <c r="U1728" s="5">
        <v>1979.21</v>
      </c>
      <c r="V1728" s="5">
        <v>1827.74</v>
      </c>
      <c r="W1728" s="3">
        <v>783.05</v>
      </c>
    </row>
    <row r="1729" spans="1:23" ht="60.75">
      <c r="A1729" s="3" t="s">
        <v>23</v>
      </c>
      <c r="B1729" s="3" t="s">
        <v>24</v>
      </c>
      <c r="C1729" s="3" t="s">
        <v>35</v>
      </c>
      <c r="D1729" s="3" t="s">
        <v>48</v>
      </c>
      <c r="E1729" s="3" t="s">
        <v>30</v>
      </c>
      <c r="F1729" s="3" t="s">
        <v>57</v>
      </c>
      <c r="G1729" s="3">
        <v>2016</v>
      </c>
      <c r="H1729" s="3" t="str">
        <f>CONCATENATE("64240702452")</f>
        <v>64240702452</v>
      </c>
      <c r="I1729" s="3" t="s">
        <v>25</v>
      </c>
      <c r="J1729" s="3" t="s">
        <v>26</v>
      </c>
      <c r="K1729" s="3" t="str">
        <f t="shared" si="58"/>
        <v/>
      </c>
      <c r="L1729" s="3" t="str">
        <f>CONCATENATE("11 11.2 4b")</f>
        <v>11 11.2 4b</v>
      </c>
      <c r="M1729" s="3" t="str">
        <f>CONCATENATE("ZMPNRC55D10E783U")</f>
        <v>ZMPNRC55D10E783U</v>
      </c>
      <c r="N1729" s="3" t="s">
        <v>1754</v>
      </c>
      <c r="O1729" s="3"/>
      <c r="P1729" s="4">
        <v>42783</v>
      </c>
      <c r="Q1729" s="3" t="s">
        <v>27</v>
      </c>
      <c r="R1729" s="3" t="s">
        <v>28</v>
      </c>
      <c r="S1729" s="3" t="s">
        <v>29</v>
      </c>
      <c r="T1729" s="5">
        <v>1194.67</v>
      </c>
      <c r="U1729" s="3">
        <v>515.14</v>
      </c>
      <c r="V1729" s="3">
        <v>475.72</v>
      </c>
      <c r="W1729" s="3">
        <v>203.81</v>
      </c>
    </row>
    <row r="1730" spans="1:23" ht="60.75">
      <c r="A1730" s="3" t="s">
        <v>23</v>
      </c>
      <c r="B1730" s="3" t="s">
        <v>24</v>
      </c>
      <c r="C1730" s="3" t="s">
        <v>35</v>
      </c>
      <c r="D1730" s="3" t="s">
        <v>43</v>
      </c>
      <c r="E1730" s="3" t="s">
        <v>30</v>
      </c>
      <c r="F1730" s="3" t="s">
        <v>76</v>
      </c>
      <c r="G1730" s="3">
        <v>2016</v>
      </c>
      <c r="H1730" s="3" t="str">
        <f>CONCATENATE("64210087645")</f>
        <v>64210087645</v>
      </c>
      <c r="I1730" s="3" t="s">
        <v>25</v>
      </c>
      <c r="J1730" s="3" t="s">
        <v>26</v>
      </c>
      <c r="K1730" s="3" t="str">
        <f t="shared" si="58"/>
        <v/>
      </c>
      <c r="L1730" s="3" t="str">
        <f>CONCATENATE("13 13.1 4a")</f>
        <v>13 13.1 4a</v>
      </c>
      <c r="M1730" s="3" t="str">
        <f>CONCATENATE("LZZRNT46S07B816G")</f>
        <v>LZZRNT46S07B816G</v>
      </c>
      <c r="N1730" s="3" t="s">
        <v>1755</v>
      </c>
      <c r="O1730" s="3"/>
      <c r="P1730" s="4">
        <v>42783</v>
      </c>
      <c r="Q1730" s="3" t="s">
        <v>27</v>
      </c>
      <c r="R1730" s="3" t="s">
        <v>28</v>
      </c>
      <c r="S1730" s="3" t="s">
        <v>29</v>
      </c>
      <c r="T1730" s="5">
        <v>1315.48</v>
      </c>
      <c r="U1730" s="3">
        <v>567.23</v>
      </c>
      <c r="V1730" s="3">
        <v>523.82000000000005</v>
      </c>
      <c r="W1730" s="3">
        <v>224.43</v>
      </c>
    </row>
    <row r="1731" spans="1:23" ht="60.75">
      <c r="A1731" s="3" t="s">
        <v>23</v>
      </c>
      <c r="B1731" s="3" t="s">
        <v>24</v>
      </c>
      <c r="C1731" s="3" t="s">
        <v>35</v>
      </c>
      <c r="D1731" s="3" t="s">
        <v>43</v>
      </c>
      <c r="E1731" s="3" t="s">
        <v>34</v>
      </c>
      <c r="F1731" s="3" t="s">
        <v>146</v>
      </c>
      <c r="G1731" s="3">
        <v>2016</v>
      </c>
      <c r="H1731" s="3" t="str">
        <f>CONCATENATE("64210518425")</f>
        <v>64210518425</v>
      </c>
      <c r="I1731" s="3" t="s">
        <v>25</v>
      </c>
      <c r="J1731" s="3" t="s">
        <v>26</v>
      </c>
      <c r="K1731" s="3" t="str">
        <f t="shared" si="58"/>
        <v/>
      </c>
      <c r="L1731" s="3" t="str">
        <f>CONCATENATE("13 13.1 4a")</f>
        <v>13 13.1 4a</v>
      </c>
      <c r="M1731" s="3" t="str">
        <f>CONCATENATE("FLPRNG33H16D809A")</f>
        <v>FLPRNG33H16D809A</v>
      </c>
      <c r="N1731" s="3" t="s">
        <v>1080</v>
      </c>
      <c r="O1731" s="3"/>
      <c r="P1731" s="4">
        <v>42783</v>
      </c>
      <c r="Q1731" s="3" t="s">
        <v>27</v>
      </c>
      <c r="R1731" s="3" t="s">
        <v>28</v>
      </c>
      <c r="S1731" s="3" t="s">
        <v>29</v>
      </c>
      <c r="T1731" s="5">
        <v>4590</v>
      </c>
      <c r="U1731" s="5">
        <v>1979.21</v>
      </c>
      <c r="V1731" s="5">
        <v>1827.74</v>
      </c>
      <c r="W1731" s="3">
        <v>783.05</v>
      </c>
    </row>
    <row r="1732" spans="1:23" ht="60.75">
      <c r="A1732" s="3" t="s">
        <v>23</v>
      </c>
      <c r="B1732" s="3" t="s">
        <v>24</v>
      </c>
      <c r="C1732" s="3" t="s">
        <v>35</v>
      </c>
      <c r="D1732" s="3" t="s">
        <v>36</v>
      </c>
      <c r="E1732" s="3" t="s">
        <v>32</v>
      </c>
      <c r="F1732" s="3" t="s">
        <v>65</v>
      </c>
      <c r="G1732" s="3">
        <v>2016</v>
      </c>
      <c r="H1732" s="3" t="str">
        <f>CONCATENATE("64240587820")</f>
        <v>64240587820</v>
      </c>
      <c r="I1732" s="3" t="s">
        <v>25</v>
      </c>
      <c r="J1732" s="3" t="s">
        <v>26</v>
      </c>
      <c r="K1732" s="3" t="str">
        <f t="shared" si="58"/>
        <v/>
      </c>
      <c r="L1732" s="3" t="str">
        <f>CONCATENATE("11 11.2 4b")</f>
        <v>11 11.2 4b</v>
      </c>
      <c r="M1732" s="3" t="str">
        <f>CONCATENATE("VLTLCN59D17H321X")</f>
        <v>VLTLCN59D17H321X</v>
      </c>
      <c r="N1732" s="3" t="s">
        <v>1756</v>
      </c>
      <c r="O1732" s="3"/>
      <c r="P1732" s="4">
        <v>42783</v>
      </c>
      <c r="Q1732" s="3" t="s">
        <v>27</v>
      </c>
      <c r="R1732" s="3" t="s">
        <v>28</v>
      </c>
      <c r="S1732" s="3" t="s">
        <v>29</v>
      </c>
      <c r="T1732" s="5">
        <v>1303.1199999999999</v>
      </c>
      <c r="U1732" s="3">
        <v>561.91</v>
      </c>
      <c r="V1732" s="3">
        <v>518.9</v>
      </c>
      <c r="W1732" s="3">
        <v>222.31</v>
      </c>
    </row>
    <row r="1733" spans="1:23" ht="36.75">
      <c r="A1733" s="3" t="s">
        <v>23</v>
      </c>
      <c r="B1733" s="3" t="s">
        <v>24</v>
      </c>
      <c r="C1733" s="3" t="s">
        <v>35</v>
      </c>
      <c r="D1733" s="3" t="s">
        <v>48</v>
      </c>
      <c r="E1733" s="3" t="s">
        <v>32</v>
      </c>
      <c r="F1733" s="3" t="s">
        <v>616</v>
      </c>
      <c r="G1733" s="3">
        <v>2016</v>
      </c>
      <c r="H1733" s="3" t="str">
        <f>CONCATENATE("64210570046")</f>
        <v>64210570046</v>
      </c>
      <c r="I1733" s="3" t="s">
        <v>25</v>
      </c>
      <c r="J1733" s="3" t="s">
        <v>26</v>
      </c>
      <c r="K1733" s="3" t="str">
        <f t="shared" si="58"/>
        <v/>
      </c>
      <c r="L1733" s="3" t="str">
        <f>CONCATENATE("13 13.1 4a")</f>
        <v>13 13.1 4a</v>
      </c>
      <c r="M1733" s="3" t="str">
        <f>CONCATENATE("02164470441")</f>
        <v>02164470441</v>
      </c>
      <c r="N1733" s="3" t="s">
        <v>1757</v>
      </c>
      <c r="O1733" s="3"/>
      <c r="P1733" s="4">
        <v>42783</v>
      </c>
      <c r="Q1733" s="3" t="s">
        <v>27</v>
      </c>
      <c r="R1733" s="3" t="s">
        <v>28</v>
      </c>
      <c r="S1733" s="3" t="s">
        <v>29</v>
      </c>
      <c r="T1733" s="5">
        <v>2847.16</v>
      </c>
      <c r="U1733" s="5">
        <v>1227.7</v>
      </c>
      <c r="V1733" s="5">
        <v>1133.74</v>
      </c>
      <c r="W1733" s="3">
        <v>485.72</v>
      </c>
    </row>
    <row r="1734" spans="1:23" ht="36.75">
      <c r="A1734" s="3" t="s">
        <v>23</v>
      </c>
      <c r="B1734" s="3" t="s">
        <v>24</v>
      </c>
      <c r="C1734" s="3" t="s">
        <v>35</v>
      </c>
      <c r="D1734" s="3" t="s">
        <v>48</v>
      </c>
      <c r="E1734" s="3" t="s">
        <v>34</v>
      </c>
      <c r="F1734" s="3" t="s">
        <v>141</v>
      </c>
      <c r="G1734" s="3">
        <v>2016</v>
      </c>
      <c r="H1734" s="3" t="str">
        <f>CONCATENATE("64240737870")</f>
        <v>64240737870</v>
      </c>
      <c r="I1734" s="3" t="s">
        <v>25</v>
      </c>
      <c r="J1734" s="3" t="s">
        <v>26</v>
      </c>
      <c r="K1734" s="3" t="str">
        <f t="shared" si="58"/>
        <v/>
      </c>
      <c r="L1734" s="3" t="str">
        <f>CONCATENATE("11 11.2 4b")</f>
        <v>11 11.2 4b</v>
      </c>
      <c r="M1734" s="3" t="str">
        <f>CONCATENATE("01003530431")</f>
        <v>01003530431</v>
      </c>
      <c r="N1734" s="3" t="s">
        <v>1758</v>
      </c>
      <c r="O1734" s="3"/>
      <c r="P1734" s="4">
        <v>42783</v>
      </c>
      <c r="Q1734" s="3" t="s">
        <v>27</v>
      </c>
      <c r="R1734" s="3" t="s">
        <v>28</v>
      </c>
      <c r="S1734" s="3" t="s">
        <v>29</v>
      </c>
      <c r="T1734" s="5">
        <v>1341.15</v>
      </c>
      <c r="U1734" s="3">
        <v>578.29999999999995</v>
      </c>
      <c r="V1734" s="3">
        <v>534.04999999999995</v>
      </c>
      <c r="W1734" s="3">
        <v>228.8</v>
      </c>
    </row>
    <row r="1735" spans="1:23" ht="60.75">
      <c r="A1735" s="3" t="s">
        <v>23</v>
      </c>
      <c r="B1735" s="3" t="s">
        <v>24</v>
      </c>
      <c r="C1735" s="3" t="s">
        <v>35</v>
      </c>
      <c r="D1735" s="3" t="s">
        <v>39</v>
      </c>
      <c r="E1735" s="3" t="s">
        <v>32</v>
      </c>
      <c r="F1735" s="3" t="s">
        <v>69</v>
      </c>
      <c r="G1735" s="3">
        <v>2016</v>
      </c>
      <c r="H1735" s="3" t="str">
        <f>CONCATENATE("64240820049")</f>
        <v>64240820049</v>
      </c>
      <c r="I1735" s="3" t="s">
        <v>25</v>
      </c>
      <c r="J1735" s="3" t="s">
        <v>26</v>
      </c>
      <c r="K1735" s="3" t="str">
        <f t="shared" si="58"/>
        <v/>
      </c>
      <c r="L1735" s="3" t="str">
        <f>CONCATENATE("11 11.2 4b")</f>
        <v>11 11.2 4b</v>
      </c>
      <c r="M1735" s="3" t="str">
        <f>CONCATENATE("PCCDNL82T29D451P")</f>
        <v>PCCDNL82T29D451P</v>
      </c>
      <c r="N1735" s="3" t="s">
        <v>1759</v>
      </c>
      <c r="O1735" s="3"/>
      <c r="P1735" s="4">
        <v>42783</v>
      </c>
      <c r="Q1735" s="3" t="s">
        <v>27</v>
      </c>
      <c r="R1735" s="3" t="s">
        <v>28</v>
      </c>
      <c r="S1735" s="3" t="s">
        <v>29</v>
      </c>
      <c r="T1735" s="5">
        <v>7487.49</v>
      </c>
      <c r="U1735" s="5">
        <v>3228.61</v>
      </c>
      <c r="V1735" s="5">
        <v>2981.52</v>
      </c>
      <c r="W1735" s="5">
        <v>1277.3599999999999</v>
      </c>
    </row>
    <row r="1736" spans="1:23" ht="36.75">
      <c r="A1736" s="3" t="s">
        <v>23</v>
      </c>
      <c r="B1736" s="3" t="s">
        <v>24</v>
      </c>
      <c r="C1736" s="3" t="s">
        <v>35</v>
      </c>
      <c r="D1736" s="3" t="s">
        <v>36</v>
      </c>
      <c r="E1736" s="3" t="s">
        <v>32</v>
      </c>
      <c r="F1736" s="3" t="s">
        <v>127</v>
      </c>
      <c r="G1736" s="3">
        <v>2016</v>
      </c>
      <c r="H1736" s="3" t="str">
        <f>CONCATENATE("64240613931")</f>
        <v>64240613931</v>
      </c>
      <c r="I1736" s="3" t="s">
        <v>25</v>
      </c>
      <c r="J1736" s="3" t="s">
        <v>26</v>
      </c>
      <c r="K1736" s="3" t="str">
        <f t="shared" si="58"/>
        <v/>
      </c>
      <c r="L1736" s="3" t="str">
        <f>CONCATENATE("11 11.1 4b")</f>
        <v>11 11.1 4b</v>
      </c>
      <c r="M1736" s="3" t="str">
        <f>CONCATENATE("01435150444")</f>
        <v>01435150444</v>
      </c>
      <c r="N1736" s="3" t="s">
        <v>1760</v>
      </c>
      <c r="O1736" s="3"/>
      <c r="P1736" s="4">
        <v>42783</v>
      </c>
      <c r="Q1736" s="3" t="s">
        <v>27</v>
      </c>
      <c r="R1736" s="3" t="s">
        <v>28</v>
      </c>
      <c r="S1736" s="3" t="s">
        <v>29</v>
      </c>
      <c r="T1736" s="3">
        <v>896.69</v>
      </c>
      <c r="U1736" s="3">
        <v>386.65</v>
      </c>
      <c r="V1736" s="3">
        <v>357.06</v>
      </c>
      <c r="W1736" s="3">
        <v>152.97999999999999</v>
      </c>
    </row>
    <row r="1737" spans="1:23" ht="60.75">
      <c r="A1737" s="3" t="s">
        <v>23</v>
      </c>
      <c r="B1737" s="3" t="s">
        <v>24</v>
      </c>
      <c r="C1737" s="3" t="s">
        <v>35</v>
      </c>
      <c r="D1737" s="3" t="s">
        <v>36</v>
      </c>
      <c r="E1737" s="3" t="s">
        <v>30</v>
      </c>
      <c r="F1737" s="3" t="s">
        <v>37</v>
      </c>
      <c r="G1737" s="3">
        <v>2016</v>
      </c>
      <c r="H1737" s="3" t="str">
        <f>CONCATENATE("64240606646")</f>
        <v>64240606646</v>
      </c>
      <c r="I1737" s="3" t="s">
        <v>25</v>
      </c>
      <c r="J1737" s="3" t="s">
        <v>26</v>
      </c>
      <c r="K1737" s="3" t="str">
        <f t="shared" si="58"/>
        <v/>
      </c>
      <c r="L1737" s="3" t="str">
        <f>CONCATENATE("10 10.1 4b")</f>
        <v>10 10.1 4b</v>
      </c>
      <c r="M1737" s="3" t="str">
        <f>CONCATENATE("MZZSFN89D15H769C")</f>
        <v>MZZSFN89D15H769C</v>
      </c>
      <c r="N1737" s="3" t="s">
        <v>1761</v>
      </c>
      <c r="O1737" s="3"/>
      <c r="P1737" s="4">
        <v>42783</v>
      </c>
      <c r="Q1737" s="3" t="s">
        <v>27</v>
      </c>
      <c r="R1737" s="3" t="s">
        <v>28</v>
      </c>
      <c r="S1737" s="3" t="s">
        <v>29</v>
      </c>
      <c r="T1737" s="5">
        <v>2844.89</v>
      </c>
      <c r="U1737" s="5">
        <v>1226.72</v>
      </c>
      <c r="V1737" s="5">
        <v>1132.8399999999999</v>
      </c>
      <c r="W1737" s="3">
        <v>485.33</v>
      </c>
    </row>
    <row r="1738" spans="1:23" ht="60.75">
      <c r="A1738" s="3" t="s">
        <v>23</v>
      </c>
      <c r="B1738" s="3" t="s">
        <v>24</v>
      </c>
      <c r="C1738" s="3" t="s">
        <v>35</v>
      </c>
      <c r="D1738" s="3" t="s">
        <v>43</v>
      </c>
      <c r="E1738" s="3" t="s">
        <v>32</v>
      </c>
      <c r="F1738" s="3" t="s">
        <v>148</v>
      </c>
      <c r="G1738" s="3">
        <v>2016</v>
      </c>
      <c r="H1738" s="3" t="str">
        <f>CONCATENATE("64240406989")</f>
        <v>64240406989</v>
      </c>
      <c r="I1738" s="3" t="s">
        <v>25</v>
      </c>
      <c r="J1738" s="3" t="s">
        <v>26</v>
      </c>
      <c r="K1738" s="3" t="str">
        <f t="shared" si="58"/>
        <v/>
      </c>
      <c r="L1738" s="3" t="str">
        <f>CONCATENATE("11 11.2 4b")</f>
        <v>11 11.2 4b</v>
      </c>
      <c r="M1738" s="3" t="str">
        <f>CONCATENATE("BVTNRC76D23H294X")</f>
        <v>BVTNRC76D23H294X</v>
      </c>
      <c r="N1738" s="3" t="s">
        <v>1762</v>
      </c>
      <c r="O1738" s="3"/>
      <c r="P1738" s="4">
        <v>42783</v>
      </c>
      <c r="Q1738" s="3" t="s">
        <v>27</v>
      </c>
      <c r="R1738" s="3" t="s">
        <v>28</v>
      </c>
      <c r="S1738" s="3" t="s">
        <v>29</v>
      </c>
      <c r="T1738" s="3">
        <v>583.44000000000005</v>
      </c>
      <c r="U1738" s="3">
        <v>251.58</v>
      </c>
      <c r="V1738" s="3">
        <v>232.33</v>
      </c>
      <c r="W1738" s="3">
        <v>99.53</v>
      </c>
    </row>
    <row r="1739" spans="1:23" ht="60.75">
      <c r="A1739" s="3" t="s">
        <v>23</v>
      </c>
      <c r="B1739" s="3" t="s">
        <v>24</v>
      </c>
      <c r="C1739" s="3" t="s">
        <v>35</v>
      </c>
      <c r="D1739" s="3" t="s">
        <v>36</v>
      </c>
      <c r="E1739" s="3" t="s">
        <v>32</v>
      </c>
      <c r="F1739" s="3" t="s">
        <v>208</v>
      </c>
      <c r="G1739" s="3">
        <v>2016</v>
      </c>
      <c r="H1739" s="3" t="str">
        <f>CONCATENATE("64240300240")</f>
        <v>64240300240</v>
      </c>
      <c r="I1739" s="3" t="s">
        <v>25</v>
      </c>
      <c r="J1739" s="3" t="s">
        <v>26</v>
      </c>
      <c r="K1739" s="3" t="str">
        <f t="shared" si="58"/>
        <v/>
      </c>
      <c r="L1739" s="3" t="str">
        <f>CONCATENATE("11 11.2 4b")</f>
        <v>11 11.2 4b</v>
      </c>
      <c r="M1739" s="3" t="str">
        <f>CONCATENATE("CLNFNC52M27C331X")</f>
        <v>CLNFNC52M27C331X</v>
      </c>
      <c r="N1739" s="3" t="s">
        <v>1763</v>
      </c>
      <c r="O1739" s="3"/>
      <c r="P1739" s="4">
        <v>42783</v>
      </c>
      <c r="Q1739" s="3" t="s">
        <v>27</v>
      </c>
      <c r="R1739" s="3" t="s">
        <v>28</v>
      </c>
      <c r="S1739" s="3" t="s">
        <v>29</v>
      </c>
      <c r="T1739" s="5">
        <v>13121.08</v>
      </c>
      <c r="U1739" s="5">
        <v>5657.81</v>
      </c>
      <c r="V1739" s="5">
        <v>5224.8100000000004</v>
      </c>
      <c r="W1739" s="5">
        <v>2238.46</v>
      </c>
    </row>
    <row r="1740" spans="1:23" ht="60.75">
      <c r="A1740" s="3" t="s">
        <v>23</v>
      </c>
      <c r="B1740" s="3" t="s">
        <v>24</v>
      </c>
      <c r="C1740" s="3" t="s">
        <v>35</v>
      </c>
      <c r="D1740" s="3" t="s">
        <v>36</v>
      </c>
      <c r="E1740" s="3" t="s">
        <v>32</v>
      </c>
      <c r="F1740" s="3" t="s">
        <v>65</v>
      </c>
      <c r="G1740" s="3">
        <v>2016</v>
      </c>
      <c r="H1740" s="3" t="str">
        <f>CONCATENATE("64240414116")</f>
        <v>64240414116</v>
      </c>
      <c r="I1740" s="3" t="s">
        <v>25</v>
      </c>
      <c r="J1740" s="3" t="s">
        <v>26</v>
      </c>
      <c r="K1740" s="3" t="str">
        <f t="shared" si="58"/>
        <v/>
      </c>
      <c r="L1740" s="3" t="str">
        <f>CONCATENATE("11 11.1 4b")</f>
        <v>11 11.1 4b</v>
      </c>
      <c r="M1740" s="3" t="str">
        <f>CONCATENATE("MRNNRT46S02F501P")</f>
        <v>MRNNRT46S02F501P</v>
      </c>
      <c r="N1740" s="3" t="s">
        <v>1764</v>
      </c>
      <c r="O1740" s="3"/>
      <c r="P1740" s="4">
        <v>42783</v>
      </c>
      <c r="Q1740" s="3" t="s">
        <v>27</v>
      </c>
      <c r="R1740" s="3" t="s">
        <v>28</v>
      </c>
      <c r="S1740" s="3" t="s">
        <v>29</v>
      </c>
      <c r="T1740" s="5">
        <v>2438.4699999999998</v>
      </c>
      <c r="U1740" s="5">
        <v>1051.47</v>
      </c>
      <c r="V1740" s="3">
        <v>971</v>
      </c>
      <c r="W1740" s="3">
        <v>416</v>
      </c>
    </row>
    <row r="1741" spans="1:23" ht="60.75">
      <c r="A1741" s="3" t="s">
        <v>23</v>
      </c>
      <c r="B1741" s="3" t="s">
        <v>24</v>
      </c>
      <c r="C1741" s="3" t="s">
        <v>35</v>
      </c>
      <c r="D1741" s="3" t="s">
        <v>43</v>
      </c>
      <c r="E1741" s="3" t="s">
        <v>32</v>
      </c>
      <c r="F1741" s="3" t="s">
        <v>78</v>
      </c>
      <c r="G1741" s="3">
        <v>2016</v>
      </c>
      <c r="H1741" s="3" t="str">
        <f>CONCATENATE("64240309720")</f>
        <v>64240309720</v>
      </c>
      <c r="I1741" s="3" t="s">
        <v>25</v>
      </c>
      <c r="J1741" s="3" t="s">
        <v>26</v>
      </c>
      <c r="K1741" s="3" t="str">
        <f t="shared" si="58"/>
        <v/>
      </c>
      <c r="L1741" s="3" t="str">
        <f>CONCATENATE("11 11.2 4b")</f>
        <v>11 11.2 4b</v>
      </c>
      <c r="M1741" s="3" t="str">
        <f>CONCATENATE("GSPLRS78C27L500R")</f>
        <v>GSPLRS78C27L500R</v>
      </c>
      <c r="N1741" s="3" t="s">
        <v>1765</v>
      </c>
      <c r="O1741" s="3"/>
      <c r="P1741" s="4">
        <v>42783</v>
      </c>
      <c r="Q1741" s="3" t="s">
        <v>27</v>
      </c>
      <c r="R1741" s="3" t="s">
        <v>28</v>
      </c>
      <c r="S1741" s="3" t="s">
        <v>29</v>
      </c>
      <c r="T1741" s="5">
        <v>3066.89</v>
      </c>
      <c r="U1741" s="5">
        <v>1322.44</v>
      </c>
      <c r="V1741" s="5">
        <v>1221.24</v>
      </c>
      <c r="W1741" s="3">
        <v>523.21</v>
      </c>
    </row>
    <row r="1742" spans="1:23" ht="60.75">
      <c r="A1742" s="3" t="s">
        <v>23</v>
      </c>
      <c r="B1742" s="3" t="s">
        <v>24</v>
      </c>
      <c r="C1742" s="3" t="s">
        <v>35</v>
      </c>
      <c r="D1742" s="3" t="s">
        <v>43</v>
      </c>
      <c r="E1742" s="3" t="s">
        <v>32</v>
      </c>
      <c r="F1742" s="3" t="s">
        <v>44</v>
      </c>
      <c r="G1742" s="3">
        <v>2016</v>
      </c>
      <c r="H1742" s="3" t="str">
        <f>CONCATENATE("64210811887")</f>
        <v>64210811887</v>
      </c>
      <c r="I1742" s="3" t="s">
        <v>25</v>
      </c>
      <c r="J1742" s="3" t="s">
        <v>26</v>
      </c>
      <c r="K1742" s="3" t="str">
        <f t="shared" si="58"/>
        <v/>
      </c>
      <c r="L1742" s="3" t="str">
        <f>CONCATENATE("13 13.1 4a")</f>
        <v>13 13.1 4a</v>
      </c>
      <c r="M1742" s="3" t="str">
        <f>CONCATENATE("CSTLTT69R64D488L")</f>
        <v>CSTLTT69R64D488L</v>
      </c>
      <c r="N1742" s="3" t="s">
        <v>1766</v>
      </c>
      <c r="O1742" s="3"/>
      <c r="P1742" s="4">
        <v>42783</v>
      </c>
      <c r="Q1742" s="3" t="s">
        <v>27</v>
      </c>
      <c r="R1742" s="3" t="s">
        <v>28</v>
      </c>
      <c r="S1742" s="3" t="s">
        <v>29</v>
      </c>
      <c r="T1742" s="5">
        <v>1948.23</v>
      </c>
      <c r="U1742" s="3">
        <v>840.08</v>
      </c>
      <c r="V1742" s="3">
        <v>775.79</v>
      </c>
      <c r="W1742" s="3">
        <v>332.36</v>
      </c>
    </row>
    <row r="1743" spans="1:23" ht="60.75">
      <c r="A1743" s="3" t="s">
        <v>23</v>
      </c>
      <c r="B1743" s="3" t="s">
        <v>24</v>
      </c>
      <c r="C1743" s="3" t="s">
        <v>35</v>
      </c>
      <c r="D1743" s="3" t="s">
        <v>48</v>
      </c>
      <c r="E1743" s="3" t="s">
        <v>30</v>
      </c>
      <c r="F1743" s="3" t="s">
        <v>57</v>
      </c>
      <c r="G1743" s="3">
        <v>2016</v>
      </c>
      <c r="H1743" s="3" t="str">
        <f>CONCATENATE("64240667036")</f>
        <v>64240667036</v>
      </c>
      <c r="I1743" s="3" t="s">
        <v>25</v>
      </c>
      <c r="J1743" s="3" t="s">
        <v>26</v>
      </c>
      <c r="K1743" s="3" t="str">
        <f t="shared" si="58"/>
        <v/>
      </c>
      <c r="L1743" s="3" t="str">
        <f>CONCATENATE("11 11.2 4b")</f>
        <v>11 11.2 4b</v>
      </c>
      <c r="M1743" s="3" t="str">
        <f>CONCATENATE("SNCMRA82P08L191J")</f>
        <v>SNCMRA82P08L191J</v>
      </c>
      <c r="N1743" s="3" t="s">
        <v>1767</v>
      </c>
      <c r="O1743" s="3"/>
      <c r="P1743" s="4">
        <v>42783</v>
      </c>
      <c r="Q1743" s="3" t="s">
        <v>27</v>
      </c>
      <c r="R1743" s="3" t="s">
        <v>28</v>
      </c>
      <c r="S1743" s="3" t="s">
        <v>29</v>
      </c>
      <c r="T1743" s="5">
        <v>10403.01</v>
      </c>
      <c r="U1743" s="5">
        <v>4485.78</v>
      </c>
      <c r="V1743" s="5">
        <v>4142.4799999999996</v>
      </c>
      <c r="W1743" s="5">
        <v>1774.75</v>
      </c>
    </row>
    <row r="1744" spans="1:23" ht="60.75">
      <c r="A1744" s="3" t="s">
        <v>23</v>
      </c>
      <c r="B1744" s="3" t="s">
        <v>24</v>
      </c>
      <c r="C1744" s="3" t="s">
        <v>35</v>
      </c>
      <c r="D1744" s="3" t="s">
        <v>48</v>
      </c>
      <c r="E1744" s="3" t="s">
        <v>49</v>
      </c>
      <c r="F1744" s="3" t="s">
        <v>50</v>
      </c>
      <c r="G1744" s="3">
        <v>2016</v>
      </c>
      <c r="H1744" s="3" t="str">
        <f>CONCATENATE("64210569865")</f>
        <v>64210569865</v>
      </c>
      <c r="I1744" s="3" t="s">
        <v>25</v>
      </c>
      <c r="J1744" s="3" t="s">
        <v>26</v>
      </c>
      <c r="K1744" s="3" t="str">
        <f t="shared" si="58"/>
        <v/>
      </c>
      <c r="L1744" s="3" t="str">
        <f>CONCATENATE("13 13.1 4a")</f>
        <v>13 13.1 4a</v>
      </c>
      <c r="M1744" s="3" t="str">
        <f>CONCATENATE("SSNLRA70C54B474B")</f>
        <v>SSNLRA70C54B474B</v>
      </c>
      <c r="N1744" s="3" t="s">
        <v>1768</v>
      </c>
      <c r="O1744" s="3"/>
      <c r="P1744" s="4">
        <v>42783</v>
      </c>
      <c r="Q1744" s="3" t="s">
        <v>27</v>
      </c>
      <c r="R1744" s="3" t="s">
        <v>28</v>
      </c>
      <c r="S1744" s="3" t="s">
        <v>29</v>
      </c>
      <c r="T1744" s="5">
        <v>1168.25</v>
      </c>
      <c r="U1744" s="3">
        <v>503.75</v>
      </c>
      <c r="V1744" s="3">
        <v>465.2</v>
      </c>
      <c r="W1744" s="3">
        <v>199.3</v>
      </c>
    </row>
    <row r="1745" spans="1:23" ht="60.75">
      <c r="A1745" s="3" t="s">
        <v>23</v>
      </c>
      <c r="B1745" s="3" t="s">
        <v>24</v>
      </c>
      <c r="C1745" s="3" t="s">
        <v>35</v>
      </c>
      <c r="D1745" s="3" t="s">
        <v>48</v>
      </c>
      <c r="E1745" s="3" t="s">
        <v>32</v>
      </c>
      <c r="F1745" s="3" t="s">
        <v>129</v>
      </c>
      <c r="G1745" s="3">
        <v>2016</v>
      </c>
      <c r="H1745" s="3" t="str">
        <f>CONCATENATE("64770284442")</f>
        <v>64770284442</v>
      </c>
      <c r="I1745" s="3" t="s">
        <v>25</v>
      </c>
      <c r="J1745" s="3" t="s">
        <v>52</v>
      </c>
      <c r="K1745" s="3" t="str">
        <f>CONCATENATE("214")</f>
        <v>214</v>
      </c>
      <c r="L1745" s="3" t="str">
        <f>CONCATENATE("11 11.2 4b")</f>
        <v>11 11.2 4b</v>
      </c>
      <c r="M1745" s="3" t="str">
        <f>CONCATENATE("SLVNZR54P13I156M")</f>
        <v>SLVNZR54P13I156M</v>
      </c>
      <c r="N1745" s="3" t="s">
        <v>978</v>
      </c>
      <c r="O1745" s="3"/>
      <c r="P1745" s="4">
        <v>42783</v>
      </c>
      <c r="Q1745" s="3" t="s">
        <v>27</v>
      </c>
      <c r="R1745" s="3" t="s">
        <v>28</v>
      </c>
      <c r="S1745" s="3" t="s">
        <v>29</v>
      </c>
      <c r="T1745" s="5">
        <v>3398.84</v>
      </c>
      <c r="U1745" s="5">
        <v>1465.58</v>
      </c>
      <c r="V1745" s="5">
        <v>1353.42</v>
      </c>
      <c r="W1745" s="3">
        <v>579.84</v>
      </c>
    </row>
    <row r="1746" spans="1:23" ht="60.75">
      <c r="A1746" s="3" t="s">
        <v>23</v>
      </c>
      <c r="B1746" s="3" t="s">
        <v>24</v>
      </c>
      <c r="C1746" s="3" t="s">
        <v>35</v>
      </c>
      <c r="D1746" s="3" t="s">
        <v>48</v>
      </c>
      <c r="E1746" s="3" t="s">
        <v>30</v>
      </c>
      <c r="F1746" s="3" t="s">
        <v>91</v>
      </c>
      <c r="G1746" s="3">
        <v>2016</v>
      </c>
      <c r="H1746" s="3" t="str">
        <f>CONCATENATE("64210531758")</f>
        <v>64210531758</v>
      </c>
      <c r="I1746" s="3" t="s">
        <v>25</v>
      </c>
      <c r="J1746" s="3" t="s">
        <v>26</v>
      </c>
      <c r="K1746" s="3" t="str">
        <f t="shared" ref="K1746:K1809" si="59">CONCATENATE("")</f>
        <v/>
      </c>
      <c r="L1746" s="3" t="str">
        <f>CONCATENATE("13 13.1 4a")</f>
        <v>13 13.1 4a</v>
      </c>
      <c r="M1746" s="3" t="str">
        <f>CONCATENATE("SCFLDN48A59A947O")</f>
        <v>SCFLDN48A59A947O</v>
      </c>
      <c r="N1746" s="3" t="s">
        <v>1769</v>
      </c>
      <c r="O1746" s="3"/>
      <c r="P1746" s="4">
        <v>42783</v>
      </c>
      <c r="Q1746" s="3" t="s">
        <v>27</v>
      </c>
      <c r="R1746" s="3" t="s">
        <v>28</v>
      </c>
      <c r="S1746" s="3" t="s">
        <v>29</v>
      </c>
      <c r="T1746" s="5">
        <v>1198.7</v>
      </c>
      <c r="U1746" s="3">
        <v>516.88</v>
      </c>
      <c r="V1746" s="3">
        <v>477.32</v>
      </c>
      <c r="W1746" s="3">
        <v>204.5</v>
      </c>
    </row>
    <row r="1747" spans="1:23" ht="60.75">
      <c r="A1747" s="3" t="s">
        <v>23</v>
      </c>
      <c r="B1747" s="3" t="s">
        <v>24</v>
      </c>
      <c r="C1747" s="3" t="s">
        <v>35</v>
      </c>
      <c r="D1747" s="3" t="s">
        <v>39</v>
      </c>
      <c r="E1747" s="3" t="s">
        <v>30</v>
      </c>
      <c r="F1747" s="3" t="s">
        <v>196</v>
      </c>
      <c r="G1747" s="3">
        <v>2016</v>
      </c>
      <c r="H1747" s="3" t="str">
        <f>CONCATENATE("64240648572")</f>
        <v>64240648572</v>
      </c>
      <c r="I1747" s="3" t="s">
        <v>25</v>
      </c>
      <c r="J1747" s="3" t="s">
        <v>26</v>
      </c>
      <c r="K1747" s="3" t="str">
        <f t="shared" si="59"/>
        <v/>
      </c>
      <c r="L1747" s="3" t="str">
        <f>CONCATENATE("11 11.1 4b")</f>
        <v>11 11.1 4b</v>
      </c>
      <c r="M1747" s="3" t="str">
        <f>CONCATENATE("SSSMCL59M65E388L")</f>
        <v>SSSMCL59M65E388L</v>
      </c>
      <c r="N1747" s="3" t="s">
        <v>1770</v>
      </c>
      <c r="O1747" s="3"/>
      <c r="P1747" s="4">
        <v>42783</v>
      </c>
      <c r="Q1747" s="3" t="s">
        <v>27</v>
      </c>
      <c r="R1747" s="3" t="s">
        <v>28</v>
      </c>
      <c r="S1747" s="3" t="s">
        <v>29</v>
      </c>
      <c r="T1747" s="3">
        <v>562.34</v>
      </c>
      <c r="U1747" s="3">
        <v>242.48</v>
      </c>
      <c r="V1747" s="3">
        <v>223.92</v>
      </c>
      <c r="W1747" s="3">
        <v>95.94</v>
      </c>
    </row>
    <row r="1748" spans="1:23" ht="60.75">
      <c r="A1748" s="3" t="s">
        <v>23</v>
      </c>
      <c r="B1748" s="3" t="s">
        <v>24</v>
      </c>
      <c r="C1748" s="3" t="s">
        <v>35</v>
      </c>
      <c r="D1748" s="3" t="s">
        <v>48</v>
      </c>
      <c r="E1748" s="3" t="s">
        <v>34</v>
      </c>
      <c r="F1748" s="3" t="s">
        <v>141</v>
      </c>
      <c r="G1748" s="3">
        <v>2016</v>
      </c>
      <c r="H1748" s="3" t="str">
        <f>CONCATENATE("64240760211")</f>
        <v>64240760211</v>
      </c>
      <c r="I1748" s="3" t="s">
        <v>25</v>
      </c>
      <c r="J1748" s="3" t="s">
        <v>26</v>
      </c>
      <c r="K1748" s="3" t="str">
        <f t="shared" si="59"/>
        <v/>
      </c>
      <c r="L1748" s="3" t="str">
        <f>CONCATENATE("11 11.1 4b")</f>
        <v>11 11.1 4b</v>
      </c>
      <c r="M1748" s="3" t="str">
        <f>CONCATENATE("BNCTTN93C52H211M")</f>
        <v>BNCTTN93C52H211M</v>
      </c>
      <c r="N1748" s="3" t="s">
        <v>1771</v>
      </c>
      <c r="O1748" s="3"/>
      <c r="P1748" s="4">
        <v>42783</v>
      </c>
      <c r="Q1748" s="3" t="s">
        <v>27</v>
      </c>
      <c r="R1748" s="3" t="s">
        <v>28</v>
      </c>
      <c r="S1748" s="3" t="s">
        <v>29</v>
      </c>
      <c r="T1748" s="5">
        <v>10279.709999999999</v>
      </c>
      <c r="U1748" s="5">
        <v>4432.6099999999997</v>
      </c>
      <c r="V1748" s="5">
        <v>4093.38</v>
      </c>
      <c r="W1748" s="5">
        <v>1753.72</v>
      </c>
    </row>
    <row r="1749" spans="1:23" ht="60.75">
      <c r="A1749" s="3" t="s">
        <v>23</v>
      </c>
      <c r="B1749" s="3" t="s">
        <v>24</v>
      </c>
      <c r="C1749" s="3" t="s">
        <v>35</v>
      </c>
      <c r="D1749" s="3" t="s">
        <v>43</v>
      </c>
      <c r="E1749" s="3" t="s">
        <v>30</v>
      </c>
      <c r="F1749" s="3" t="s">
        <v>76</v>
      </c>
      <c r="G1749" s="3">
        <v>2016</v>
      </c>
      <c r="H1749" s="3" t="str">
        <f>CONCATENATE("64210123143")</f>
        <v>64210123143</v>
      </c>
      <c r="I1749" s="3" t="s">
        <v>25</v>
      </c>
      <c r="J1749" s="3" t="s">
        <v>26</v>
      </c>
      <c r="K1749" s="3" t="str">
        <f t="shared" si="59"/>
        <v/>
      </c>
      <c r="L1749" s="3" t="str">
        <f>CONCATENATE("13 13.1 4a")</f>
        <v>13 13.1 4a</v>
      </c>
      <c r="M1749" s="3" t="str">
        <f>CONCATENATE("FSCGPP53E11F136F")</f>
        <v>FSCGPP53E11F136F</v>
      </c>
      <c r="N1749" s="3" t="s">
        <v>1772</v>
      </c>
      <c r="O1749" s="3"/>
      <c r="P1749" s="4">
        <v>42783</v>
      </c>
      <c r="Q1749" s="3" t="s">
        <v>27</v>
      </c>
      <c r="R1749" s="3" t="s">
        <v>28</v>
      </c>
      <c r="S1749" s="3" t="s">
        <v>29</v>
      </c>
      <c r="T1749" s="3">
        <v>901.69</v>
      </c>
      <c r="U1749" s="3">
        <v>388.81</v>
      </c>
      <c r="V1749" s="3">
        <v>359.05</v>
      </c>
      <c r="W1749" s="3">
        <v>153.83000000000001</v>
      </c>
    </row>
    <row r="1750" spans="1:23" ht="36.75">
      <c r="A1750" s="3" t="s">
        <v>23</v>
      </c>
      <c r="B1750" s="3" t="s">
        <v>24</v>
      </c>
      <c r="C1750" s="3" t="s">
        <v>35</v>
      </c>
      <c r="D1750" s="3" t="s">
        <v>43</v>
      </c>
      <c r="E1750" s="3" t="s">
        <v>30</v>
      </c>
      <c r="F1750" s="3" t="s">
        <v>76</v>
      </c>
      <c r="G1750" s="3">
        <v>2016</v>
      </c>
      <c r="H1750" s="3" t="str">
        <f>CONCATENATE("64240257853")</f>
        <v>64240257853</v>
      </c>
      <c r="I1750" s="3" t="s">
        <v>31</v>
      </c>
      <c r="J1750" s="3" t="s">
        <v>26</v>
      </c>
      <c r="K1750" s="3" t="str">
        <f t="shared" si="59"/>
        <v/>
      </c>
      <c r="L1750" s="3" t="str">
        <f>CONCATENATE("11 11.2 4b")</f>
        <v>11 11.2 4b</v>
      </c>
      <c r="M1750" s="3" t="str">
        <f>CONCATENATE("00984410415")</f>
        <v>00984410415</v>
      </c>
      <c r="N1750" s="3" t="s">
        <v>1773</v>
      </c>
      <c r="O1750" s="3"/>
      <c r="P1750" s="4">
        <v>42783</v>
      </c>
      <c r="Q1750" s="3" t="s">
        <v>27</v>
      </c>
      <c r="R1750" s="3" t="s">
        <v>28</v>
      </c>
      <c r="S1750" s="3" t="s">
        <v>29</v>
      </c>
      <c r="T1750" s="5">
        <v>40529.11</v>
      </c>
      <c r="U1750" s="5">
        <v>17476.150000000001</v>
      </c>
      <c r="V1750" s="5">
        <v>16138.69</v>
      </c>
      <c r="W1750" s="5">
        <v>6914.27</v>
      </c>
    </row>
    <row r="1751" spans="1:23" ht="60.75">
      <c r="A1751" s="3" t="s">
        <v>23</v>
      </c>
      <c r="B1751" s="3" t="s">
        <v>24</v>
      </c>
      <c r="C1751" s="3" t="s">
        <v>35</v>
      </c>
      <c r="D1751" s="3" t="s">
        <v>48</v>
      </c>
      <c r="E1751" s="3" t="s">
        <v>49</v>
      </c>
      <c r="F1751" s="3" t="s">
        <v>50</v>
      </c>
      <c r="G1751" s="3">
        <v>2016</v>
      </c>
      <c r="H1751" s="3" t="str">
        <f>CONCATENATE("64240895330")</f>
        <v>64240895330</v>
      </c>
      <c r="I1751" s="3" t="s">
        <v>25</v>
      </c>
      <c r="J1751" s="3" t="s">
        <v>26</v>
      </c>
      <c r="K1751" s="3" t="str">
        <f t="shared" si="59"/>
        <v/>
      </c>
      <c r="L1751" s="3" t="str">
        <f>CONCATENATE("11 11.1 4b")</f>
        <v>11 11.1 4b</v>
      </c>
      <c r="M1751" s="3" t="str">
        <f>CONCATENATE("SCLRND93L22D024E")</f>
        <v>SCLRND93L22D024E</v>
      </c>
      <c r="N1751" s="3" t="s">
        <v>1774</v>
      </c>
      <c r="O1751" s="3"/>
      <c r="P1751" s="4">
        <v>42783</v>
      </c>
      <c r="Q1751" s="3" t="s">
        <v>27</v>
      </c>
      <c r="R1751" s="3" t="s">
        <v>28</v>
      </c>
      <c r="S1751" s="3" t="s">
        <v>29</v>
      </c>
      <c r="T1751" s="5">
        <v>3500.14</v>
      </c>
      <c r="U1751" s="5">
        <v>1509.26</v>
      </c>
      <c r="V1751" s="5">
        <v>1393.76</v>
      </c>
      <c r="W1751" s="3">
        <v>597.12</v>
      </c>
    </row>
    <row r="1752" spans="1:23" ht="60.75">
      <c r="A1752" s="3" t="s">
        <v>23</v>
      </c>
      <c r="B1752" s="3" t="s">
        <v>24</v>
      </c>
      <c r="C1752" s="3" t="s">
        <v>35</v>
      </c>
      <c r="D1752" s="3" t="s">
        <v>39</v>
      </c>
      <c r="E1752" s="3" t="s">
        <v>30</v>
      </c>
      <c r="F1752" s="3" t="s">
        <v>40</v>
      </c>
      <c r="G1752" s="3">
        <v>2016</v>
      </c>
      <c r="H1752" s="3" t="str">
        <f>CONCATENATE("64240380960")</f>
        <v>64240380960</v>
      </c>
      <c r="I1752" s="3" t="s">
        <v>25</v>
      </c>
      <c r="J1752" s="3" t="s">
        <v>26</v>
      </c>
      <c r="K1752" s="3" t="str">
        <f t="shared" si="59"/>
        <v/>
      </c>
      <c r="L1752" s="3" t="str">
        <f>CONCATENATE("11 11.2 4b")</f>
        <v>11 11.2 4b</v>
      </c>
      <c r="M1752" s="3" t="str">
        <f>CONCATENATE("SCCNDR88D23E388H")</f>
        <v>SCCNDR88D23E388H</v>
      </c>
      <c r="N1752" s="3" t="s">
        <v>934</v>
      </c>
      <c r="O1752" s="3"/>
      <c r="P1752" s="4">
        <v>42783</v>
      </c>
      <c r="Q1752" s="3" t="s">
        <v>27</v>
      </c>
      <c r="R1752" s="3" t="s">
        <v>28</v>
      </c>
      <c r="S1752" s="3" t="s">
        <v>29</v>
      </c>
      <c r="T1752" s="5">
        <v>1652.24</v>
      </c>
      <c r="U1752" s="3">
        <v>712.45</v>
      </c>
      <c r="V1752" s="3">
        <v>657.92</v>
      </c>
      <c r="W1752" s="3">
        <v>281.87</v>
      </c>
    </row>
    <row r="1753" spans="1:23" ht="36.75">
      <c r="A1753" s="3" t="s">
        <v>23</v>
      </c>
      <c r="B1753" s="3" t="s">
        <v>24</v>
      </c>
      <c r="C1753" s="3" t="s">
        <v>35</v>
      </c>
      <c r="D1753" s="3" t="s">
        <v>43</v>
      </c>
      <c r="E1753" s="3" t="s">
        <v>30</v>
      </c>
      <c r="F1753" s="3" t="s">
        <v>131</v>
      </c>
      <c r="G1753" s="3">
        <v>2016</v>
      </c>
      <c r="H1753" s="3" t="str">
        <f>CONCATENATE("64240732319")</f>
        <v>64240732319</v>
      </c>
      <c r="I1753" s="3" t="s">
        <v>25</v>
      </c>
      <c r="J1753" s="3" t="s">
        <v>26</v>
      </c>
      <c r="K1753" s="3" t="str">
        <f t="shared" si="59"/>
        <v/>
      </c>
      <c r="L1753" s="3" t="str">
        <f>CONCATENATE("11 11.2 4b")</f>
        <v>11 11.2 4b</v>
      </c>
      <c r="M1753" s="3" t="str">
        <f>CONCATENATE("02577080415")</f>
        <v>02577080415</v>
      </c>
      <c r="N1753" s="3" t="s">
        <v>1775</v>
      </c>
      <c r="O1753" s="3"/>
      <c r="P1753" s="4">
        <v>42783</v>
      </c>
      <c r="Q1753" s="3" t="s">
        <v>27</v>
      </c>
      <c r="R1753" s="3" t="s">
        <v>28</v>
      </c>
      <c r="S1753" s="3" t="s">
        <v>29</v>
      </c>
      <c r="T1753" s="5">
        <v>5431.42</v>
      </c>
      <c r="U1753" s="5">
        <v>2342.0300000000002</v>
      </c>
      <c r="V1753" s="5">
        <v>2162.79</v>
      </c>
      <c r="W1753" s="3">
        <v>926.6</v>
      </c>
    </row>
    <row r="1754" spans="1:23" ht="36.75">
      <c r="A1754" s="3" t="s">
        <v>23</v>
      </c>
      <c r="B1754" s="3" t="s">
        <v>24</v>
      </c>
      <c r="C1754" s="3" t="s">
        <v>35</v>
      </c>
      <c r="D1754" s="3" t="s">
        <v>43</v>
      </c>
      <c r="E1754" s="3" t="s">
        <v>30</v>
      </c>
      <c r="F1754" s="3" t="s">
        <v>124</v>
      </c>
      <c r="G1754" s="3">
        <v>2016</v>
      </c>
      <c r="H1754" s="3" t="str">
        <f>CONCATENATE("64240714358")</f>
        <v>64240714358</v>
      </c>
      <c r="I1754" s="3" t="s">
        <v>25</v>
      </c>
      <c r="J1754" s="3" t="s">
        <v>26</v>
      </c>
      <c r="K1754" s="3" t="str">
        <f t="shared" si="59"/>
        <v/>
      </c>
      <c r="L1754" s="3" t="str">
        <f>CONCATENATE("11 11.2 4b")</f>
        <v>11 11.2 4b</v>
      </c>
      <c r="M1754" s="3" t="str">
        <f>CONCATENATE("01358310413")</f>
        <v>01358310413</v>
      </c>
      <c r="N1754" s="3" t="s">
        <v>1185</v>
      </c>
      <c r="O1754" s="3"/>
      <c r="P1754" s="4">
        <v>42783</v>
      </c>
      <c r="Q1754" s="3" t="s">
        <v>27</v>
      </c>
      <c r="R1754" s="3" t="s">
        <v>28</v>
      </c>
      <c r="S1754" s="3" t="s">
        <v>29</v>
      </c>
      <c r="T1754" s="5">
        <v>27364.2</v>
      </c>
      <c r="U1754" s="5">
        <v>11799.44</v>
      </c>
      <c r="V1754" s="5">
        <v>10896.42</v>
      </c>
      <c r="W1754" s="5">
        <v>4668.34</v>
      </c>
    </row>
    <row r="1755" spans="1:23" ht="60.75">
      <c r="A1755" s="3" t="s">
        <v>23</v>
      </c>
      <c r="B1755" s="3" t="s">
        <v>24</v>
      </c>
      <c r="C1755" s="3" t="s">
        <v>35</v>
      </c>
      <c r="D1755" s="3" t="s">
        <v>36</v>
      </c>
      <c r="E1755" s="3" t="s">
        <v>33</v>
      </c>
      <c r="F1755" s="3" t="s">
        <v>192</v>
      </c>
      <c r="G1755" s="3">
        <v>2016</v>
      </c>
      <c r="H1755" s="3" t="str">
        <f>CONCATENATE("64210974743")</f>
        <v>64210974743</v>
      </c>
      <c r="I1755" s="3" t="s">
        <v>25</v>
      </c>
      <c r="J1755" s="3" t="s">
        <v>26</v>
      </c>
      <c r="K1755" s="3" t="str">
        <f t="shared" si="59"/>
        <v/>
      </c>
      <c r="L1755" s="3" t="str">
        <f>CONCATENATE("13 13.1 4a")</f>
        <v>13 13.1 4a</v>
      </c>
      <c r="M1755" s="3" t="str">
        <f>CONCATENATE("GLSLGU27H58H588C")</f>
        <v>GLSLGU27H58H588C</v>
      </c>
      <c r="N1755" s="3" t="s">
        <v>1776</v>
      </c>
      <c r="O1755" s="3"/>
      <c r="P1755" s="4">
        <v>42783</v>
      </c>
      <c r="Q1755" s="3" t="s">
        <v>27</v>
      </c>
      <c r="R1755" s="3" t="s">
        <v>28</v>
      </c>
      <c r="S1755" s="3" t="s">
        <v>29</v>
      </c>
      <c r="T1755" s="3">
        <v>668.04</v>
      </c>
      <c r="U1755" s="3">
        <v>288.06</v>
      </c>
      <c r="V1755" s="3">
        <v>266.01</v>
      </c>
      <c r="W1755" s="3">
        <v>113.97</v>
      </c>
    </row>
    <row r="1756" spans="1:23" ht="72.75">
      <c r="A1756" s="3" t="s">
        <v>23</v>
      </c>
      <c r="B1756" s="3" t="s">
        <v>24</v>
      </c>
      <c r="C1756" s="3" t="s">
        <v>35</v>
      </c>
      <c r="D1756" s="3" t="s">
        <v>48</v>
      </c>
      <c r="E1756" s="3" t="s">
        <v>30</v>
      </c>
      <c r="F1756" s="3" t="s">
        <v>91</v>
      </c>
      <c r="G1756" s="3">
        <v>2016</v>
      </c>
      <c r="H1756" s="3" t="str">
        <f>CONCATENATE("64240312807")</f>
        <v>64240312807</v>
      </c>
      <c r="I1756" s="3" t="s">
        <v>25</v>
      </c>
      <c r="J1756" s="3" t="s">
        <v>26</v>
      </c>
      <c r="K1756" s="3" t="str">
        <f t="shared" si="59"/>
        <v/>
      </c>
      <c r="L1756" s="3" t="str">
        <f>CONCATENATE("11 11.2 4b")</f>
        <v>11 11.2 4b</v>
      </c>
      <c r="M1756" s="3" t="str">
        <f>CONCATENATE("BRGRRT63A18D429U")</f>
        <v>BRGRRT63A18D429U</v>
      </c>
      <c r="N1756" s="3" t="s">
        <v>107</v>
      </c>
      <c r="O1756" s="3"/>
      <c r="P1756" s="4">
        <v>42783</v>
      </c>
      <c r="Q1756" s="3" t="s">
        <v>27</v>
      </c>
      <c r="R1756" s="3" t="s">
        <v>28</v>
      </c>
      <c r="S1756" s="3" t="s">
        <v>29</v>
      </c>
      <c r="T1756" s="5">
        <v>13031.41</v>
      </c>
      <c r="U1756" s="5">
        <v>5619.14</v>
      </c>
      <c r="V1756" s="5">
        <v>5189.1099999999997</v>
      </c>
      <c r="W1756" s="5">
        <v>2223.16</v>
      </c>
    </row>
    <row r="1757" spans="1:23" ht="36.75">
      <c r="A1757" s="3" t="s">
        <v>23</v>
      </c>
      <c r="B1757" s="3" t="s">
        <v>24</v>
      </c>
      <c r="C1757" s="3" t="s">
        <v>35</v>
      </c>
      <c r="D1757" s="3" t="s">
        <v>39</v>
      </c>
      <c r="E1757" s="3" t="s">
        <v>32</v>
      </c>
      <c r="F1757" s="3" t="s">
        <v>117</v>
      </c>
      <c r="G1757" s="3">
        <v>2016</v>
      </c>
      <c r="H1757" s="3" t="str">
        <f>CONCATENATE("64240485140")</f>
        <v>64240485140</v>
      </c>
      <c r="I1757" s="3" t="s">
        <v>25</v>
      </c>
      <c r="J1757" s="3" t="s">
        <v>26</v>
      </c>
      <c r="K1757" s="3" t="str">
        <f t="shared" si="59"/>
        <v/>
      </c>
      <c r="L1757" s="3" t="str">
        <f>CONCATENATE("11 11.2 4b")</f>
        <v>11 11.2 4b</v>
      </c>
      <c r="M1757" s="3" t="str">
        <f>CONCATENATE("02443410424")</f>
        <v>02443410424</v>
      </c>
      <c r="N1757" s="3" t="s">
        <v>1777</v>
      </c>
      <c r="O1757" s="3"/>
      <c r="P1757" s="4">
        <v>42783</v>
      </c>
      <c r="Q1757" s="3" t="s">
        <v>27</v>
      </c>
      <c r="R1757" s="3" t="s">
        <v>28</v>
      </c>
      <c r="S1757" s="3" t="s">
        <v>29</v>
      </c>
      <c r="T1757" s="5">
        <v>2117.5500000000002</v>
      </c>
      <c r="U1757" s="3">
        <v>913.09</v>
      </c>
      <c r="V1757" s="3">
        <v>843.21</v>
      </c>
      <c r="W1757" s="3">
        <v>361.25</v>
      </c>
    </row>
    <row r="1758" spans="1:23" ht="60.75">
      <c r="A1758" s="3" t="s">
        <v>23</v>
      </c>
      <c r="B1758" s="3" t="s">
        <v>24</v>
      </c>
      <c r="C1758" s="3" t="s">
        <v>35</v>
      </c>
      <c r="D1758" s="3" t="s">
        <v>36</v>
      </c>
      <c r="E1758" s="3" t="s">
        <v>32</v>
      </c>
      <c r="F1758" s="3" t="s">
        <v>179</v>
      </c>
      <c r="G1758" s="3">
        <v>2016</v>
      </c>
      <c r="H1758" s="3" t="str">
        <f>CONCATENATE("64210509002")</f>
        <v>64210509002</v>
      </c>
      <c r="I1758" s="3" t="s">
        <v>25</v>
      </c>
      <c r="J1758" s="3" t="s">
        <v>26</v>
      </c>
      <c r="K1758" s="3" t="str">
        <f t="shared" si="59"/>
        <v/>
      </c>
      <c r="L1758" s="3" t="str">
        <f>CONCATENATE("13 13.1 4a")</f>
        <v>13 13.1 4a</v>
      </c>
      <c r="M1758" s="3" t="str">
        <f>CONCATENATE("TTVGPP57D14F509N")</f>
        <v>TTVGPP57D14F509N</v>
      </c>
      <c r="N1758" s="3" t="s">
        <v>1778</v>
      </c>
      <c r="O1758" s="3"/>
      <c r="P1758" s="4">
        <v>42783</v>
      </c>
      <c r="Q1758" s="3" t="s">
        <v>27</v>
      </c>
      <c r="R1758" s="3" t="s">
        <v>28</v>
      </c>
      <c r="S1758" s="3" t="s">
        <v>29</v>
      </c>
      <c r="T1758" s="5">
        <v>3766</v>
      </c>
      <c r="U1758" s="5">
        <v>1623.9</v>
      </c>
      <c r="V1758" s="5">
        <v>1499.62</v>
      </c>
      <c r="W1758" s="3">
        <v>642.48</v>
      </c>
    </row>
    <row r="1759" spans="1:23" ht="36.75">
      <c r="A1759" s="3" t="s">
        <v>23</v>
      </c>
      <c r="B1759" s="3" t="s">
        <v>24</v>
      </c>
      <c r="C1759" s="3" t="s">
        <v>35</v>
      </c>
      <c r="D1759" s="3" t="s">
        <v>43</v>
      </c>
      <c r="E1759" s="3" t="s">
        <v>30</v>
      </c>
      <c r="F1759" s="3" t="s">
        <v>76</v>
      </c>
      <c r="G1759" s="3">
        <v>2016</v>
      </c>
      <c r="H1759" s="3" t="str">
        <f>CONCATENATE("64210229726")</f>
        <v>64210229726</v>
      </c>
      <c r="I1759" s="3" t="s">
        <v>31</v>
      </c>
      <c r="J1759" s="3" t="s">
        <v>26</v>
      </c>
      <c r="K1759" s="3" t="str">
        <f t="shared" si="59"/>
        <v/>
      </c>
      <c r="L1759" s="3" t="str">
        <f>CONCATENATE("13 13.1 4a")</f>
        <v>13 13.1 4a</v>
      </c>
      <c r="M1759" s="3" t="str">
        <f>CONCATENATE("00984410415")</f>
        <v>00984410415</v>
      </c>
      <c r="N1759" s="3" t="s">
        <v>1773</v>
      </c>
      <c r="O1759" s="3"/>
      <c r="P1759" s="4">
        <v>42783</v>
      </c>
      <c r="Q1759" s="3" t="s">
        <v>27</v>
      </c>
      <c r="R1759" s="3" t="s">
        <v>28</v>
      </c>
      <c r="S1759" s="3" t="s">
        <v>29</v>
      </c>
      <c r="T1759" s="5">
        <v>5400</v>
      </c>
      <c r="U1759" s="5">
        <v>2328.48</v>
      </c>
      <c r="V1759" s="5">
        <v>2150.2800000000002</v>
      </c>
      <c r="W1759" s="3">
        <v>921.24</v>
      </c>
    </row>
    <row r="1760" spans="1:23" ht="36.75">
      <c r="A1760" s="3" t="s">
        <v>23</v>
      </c>
      <c r="B1760" s="3" t="s">
        <v>24</v>
      </c>
      <c r="C1760" s="3" t="s">
        <v>35</v>
      </c>
      <c r="D1760" s="3" t="s">
        <v>36</v>
      </c>
      <c r="E1760" s="3" t="s">
        <v>32</v>
      </c>
      <c r="F1760" s="3" t="s">
        <v>65</v>
      </c>
      <c r="G1760" s="3">
        <v>2016</v>
      </c>
      <c r="H1760" s="3" t="str">
        <f>CONCATENATE("64240567442")</f>
        <v>64240567442</v>
      </c>
      <c r="I1760" s="3" t="s">
        <v>25</v>
      </c>
      <c r="J1760" s="3" t="s">
        <v>26</v>
      </c>
      <c r="K1760" s="3" t="str">
        <f t="shared" si="59"/>
        <v/>
      </c>
      <c r="L1760" s="3" t="str">
        <f>CONCATENATE("11 11.1 4b")</f>
        <v>11 11.1 4b</v>
      </c>
      <c r="M1760" s="3" t="str">
        <f>CONCATENATE("02273560447")</f>
        <v>02273560447</v>
      </c>
      <c r="N1760" s="3" t="s">
        <v>1779</v>
      </c>
      <c r="O1760" s="3"/>
      <c r="P1760" s="4">
        <v>42783</v>
      </c>
      <c r="Q1760" s="3" t="s">
        <v>27</v>
      </c>
      <c r="R1760" s="3" t="s">
        <v>28</v>
      </c>
      <c r="S1760" s="3" t="s">
        <v>29</v>
      </c>
      <c r="T1760" s="5">
        <v>1989.94</v>
      </c>
      <c r="U1760" s="3">
        <v>858.06</v>
      </c>
      <c r="V1760" s="3">
        <v>792.39</v>
      </c>
      <c r="W1760" s="3">
        <v>339.49</v>
      </c>
    </row>
    <row r="1761" spans="1:23" ht="60.75">
      <c r="A1761" s="3" t="s">
        <v>23</v>
      </c>
      <c r="B1761" s="3" t="s">
        <v>24</v>
      </c>
      <c r="C1761" s="3" t="s">
        <v>35</v>
      </c>
      <c r="D1761" s="3" t="s">
        <v>39</v>
      </c>
      <c r="E1761" s="3" t="s">
        <v>30</v>
      </c>
      <c r="F1761" s="3" t="s">
        <v>84</v>
      </c>
      <c r="G1761" s="3">
        <v>2016</v>
      </c>
      <c r="H1761" s="3" t="str">
        <f>CONCATENATE("64240729380")</f>
        <v>64240729380</v>
      </c>
      <c r="I1761" s="3" t="s">
        <v>25</v>
      </c>
      <c r="J1761" s="3" t="s">
        <v>26</v>
      </c>
      <c r="K1761" s="3" t="str">
        <f t="shared" si="59"/>
        <v/>
      </c>
      <c r="L1761" s="3" t="str">
        <f>CONCATENATE("11 11.1 4b")</f>
        <v>11 11.1 4b</v>
      </c>
      <c r="M1761" s="3" t="str">
        <f>CONCATENATE("FRNLGU38L10G478C")</f>
        <v>FRNLGU38L10G478C</v>
      </c>
      <c r="N1761" s="3" t="s">
        <v>1464</v>
      </c>
      <c r="O1761" s="3"/>
      <c r="P1761" s="4">
        <v>42783</v>
      </c>
      <c r="Q1761" s="3" t="s">
        <v>27</v>
      </c>
      <c r="R1761" s="3" t="s">
        <v>28</v>
      </c>
      <c r="S1761" s="3" t="s">
        <v>29</v>
      </c>
      <c r="T1761" s="5">
        <v>34632.6</v>
      </c>
      <c r="U1761" s="5">
        <v>14933.58</v>
      </c>
      <c r="V1761" s="5">
        <v>13790.7</v>
      </c>
      <c r="W1761" s="5">
        <v>5908.32</v>
      </c>
    </row>
    <row r="1762" spans="1:23" ht="60.75">
      <c r="A1762" s="3" t="s">
        <v>23</v>
      </c>
      <c r="B1762" s="3" t="s">
        <v>24</v>
      </c>
      <c r="C1762" s="3" t="s">
        <v>35</v>
      </c>
      <c r="D1762" s="3" t="s">
        <v>43</v>
      </c>
      <c r="E1762" s="3" t="s">
        <v>30</v>
      </c>
      <c r="F1762" s="3" t="s">
        <v>76</v>
      </c>
      <c r="G1762" s="3">
        <v>2016</v>
      </c>
      <c r="H1762" s="3" t="str">
        <f>CONCATENATE("64210097297")</f>
        <v>64210097297</v>
      </c>
      <c r="I1762" s="3" t="s">
        <v>25</v>
      </c>
      <c r="J1762" s="3" t="s">
        <v>26</v>
      </c>
      <c r="K1762" s="3" t="str">
        <f t="shared" si="59"/>
        <v/>
      </c>
      <c r="L1762" s="3" t="str">
        <f>CONCATENATE("13 13.1 4a")</f>
        <v>13 13.1 4a</v>
      </c>
      <c r="M1762" s="3" t="str">
        <f>CONCATENATE("SLVDVD68H06E785Q")</f>
        <v>SLVDVD68H06E785Q</v>
      </c>
      <c r="N1762" s="3" t="s">
        <v>1780</v>
      </c>
      <c r="O1762" s="3"/>
      <c r="P1762" s="4">
        <v>42783</v>
      </c>
      <c r="Q1762" s="3" t="s">
        <v>27</v>
      </c>
      <c r="R1762" s="3" t="s">
        <v>28</v>
      </c>
      <c r="S1762" s="3" t="s">
        <v>29</v>
      </c>
      <c r="T1762" s="5">
        <v>3182.77</v>
      </c>
      <c r="U1762" s="5">
        <v>1372.41</v>
      </c>
      <c r="V1762" s="5">
        <v>1267.3800000000001</v>
      </c>
      <c r="W1762" s="3">
        <v>542.98</v>
      </c>
    </row>
    <row r="1763" spans="1:23" ht="60.75">
      <c r="A1763" s="3" t="s">
        <v>23</v>
      </c>
      <c r="B1763" s="3" t="s">
        <v>24</v>
      </c>
      <c r="C1763" s="3" t="s">
        <v>35</v>
      </c>
      <c r="D1763" s="3" t="s">
        <v>43</v>
      </c>
      <c r="E1763" s="3" t="s">
        <v>100</v>
      </c>
      <c r="F1763" s="3" t="s">
        <v>101</v>
      </c>
      <c r="G1763" s="3">
        <v>2016</v>
      </c>
      <c r="H1763" s="3" t="str">
        <f>CONCATENATE("64240585949")</f>
        <v>64240585949</v>
      </c>
      <c r="I1763" s="3" t="s">
        <v>25</v>
      </c>
      <c r="J1763" s="3" t="s">
        <v>26</v>
      </c>
      <c r="K1763" s="3" t="str">
        <f t="shared" si="59"/>
        <v/>
      </c>
      <c r="L1763" s="3" t="str">
        <f>CONCATENATE("11 11.1 4b")</f>
        <v>11 11.1 4b</v>
      </c>
      <c r="M1763" s="3" t="str">
        <f>CONCATENATE("LRDGNE65P03C357P")</f>
        <v>LRDGNE65P03C357P</v>
      </c>
      <c r="N1763" s="3" t="s">
        <v>1781</v>
      </c>
      <c r="O1763" s="3"/>
      <c r="P1763" s="4">
        <v>42783</v>
      </c>
      <c r="Q1763" s="3" t="s">
        <v>27</v>
      </c>
      <c r="R1763" s="3" t="s">
        <v>28</v>
      </c>
      <c r="S1763" s="3" t="s">
        <v>29</v>
      </c>
      <c r="T1763" s="5">
        <v>2834.65</v>
      </c>
      <c r="U1763" s="5">
        <v>1222.3</v>
      </c>
      <c r="V1763" s="5">
        <v>1128.76</v>
      </c>
      <c r="W1763" s="3">
        <v>483.59</v>
      </c>
    </row>
    <row r="1764" spans="1:23" ht="60.75">
      <c r="A1764" s="3" t="s">
        <v>23</v>
      </c>
      <c r="B1764" s="3" t="s">
        <v>24</v>
      </c>
      <c r="C1764" s="3" t="s">
        <v>35</v>
      </c>
      <c r="D1764" s="3" t="s">
        <v>48</v>
      </c>
      <c r="E1764" s="3" t="s">
        <v>30</v>
      </c>
      <c r="F1764" s="3" t="s">
        <v>91</v>
      </c>
      <c r="G1764" s="3">
        <v>2016</v>
      </c>
      <c r="H1764" s="3" t="str">
        <f>CONCATENATE("64210584617")</f>
        <v>64210584617</v>
      </c>
      <c r="I1764" s="3" t="s">
        <v>25</v>
      </c>
      <c r="J1764" s="3" t="s">
        <v>26</v>
      </c>
      <c r="K1764" s="3" t="str">
        <f t="shared" si="59"/>
        <v/>
      </c>
      <c r="L1764" s="3" t="str">
        <f>CONCATENATE("13 13.1 4a")</f>
        <v>13 13.1 4a</v>
      </c>
      <c r="M1764" s="3" t="str">
        <f>CONCATENATE("CTTPQL39R29A334G")</f>
        <v>CTTPQL39R29A334G</v>
      </c>
      <c r="N1764" s="3" t="s">
        <v>1782</v>
      </c>
      <c r="O1764" s="3"/>
      <c r="P1764" s="4">
        <v>42783</v>
      </c>
      <c r="Q1764" s="3" t="s">
        <v>27</v>
      </c>
      <c r="R1764" s="3" t="s">
        <v>28</v>
      </c>
      <c r="S1764" s="3" t="s">
        <v>29</v>
      </c>
      <c r="T1764" s="5">
        <v>4590</v>
      </c>
      <c r="U1764" s="5">
        <v>1979.21</v>
      </c>
      <c r="V1764" s="5">
        <v>1827.74</v>
      </c>
      <c r="W1764" s="3">
        <v>783.05</v>
      </c>
    </row>
    <row r="1765" spans="1:23" ht="60.75">
      <c r="A1765" s="3" t="s">
        <v>23</v>
      </c>
      <c r="B1765" s="3" t="s">
        <v>24</v>
      </c>
      <c r="C1765" s="3" t="s">
        <v>35</v>
      </c>
      <c r="D1765" s="3" t="s">
        <v>36</v>
      </c>
      <c r="E1765" s="3" t="s">
        <v>30</v>
      </c>
      <c r="F1765" s="3" t="s">
        <v>37</v>
      </c>
      <c r="G1765" s="3">
        <v>2016</v>
      </c>
      <c r="H1765" s="3" t="str">
        <f>CONCATENATE("64240667481")</f>
        <v>64240667481</v>
      </c>
      <c r="I1765" s="3" t="s">
        <v>25</v>
      </c>
      <c r="J1765" s="3" t="s">
        <v>26</v>
      </c>
      <c r="K1765" s="3" t="str">
        <f t="shared" si="59"/>
        <v/>
      </c>
      <c r="L1765" s="3" t="str">
        <f>CONCATENATE("10 10.1 4b")</f>
        <v>10 10.1 4b</v>
      </c>
      <c r="M1765" s="3" t="str">
        <f>CONCATENATE("CRTVCN69D42F415N")</f>
        <v>CRTVCN69D42F415N</v>
      </c>
      <c r="N1765" s="3" t="s">
        <v>1783</v>
      </c>
      <c r="O1765" s="3"/>
      <c r="P1765" s="4">
        <v>42783</v>
      </c>
      <c r="Q1765" s="3" t="s">
        <v>27</v>
      </c>
      <c r="R1765" s="3" t="s">
        <v>28</v>
      </c>
      <c r="S1765" s="3" t="s">
        <v>29</v>
      </c>
      <c r="T1765" s="5">
        <v>2201.71</v>
      </c>
      <c r="U1765" s="3">
        <v>949.38</v>
      </c>
      <c r="V1765" s="3">
        <v>876.72</v>
      </c>
      <c r="W1765" s="3">
        <v>375.61</v>
      </c>
    </row>
    <row r="1766" spans="1:23" ht="60.75">
      <c r="A1766" s="3" t="s">
        <v>23</v>
      </c>
      <c r="B1766" s="3" t="s">
        <v>24</v>
      </c>
      <c r="C1766" s="3" t="s">
        <v>35</v>
      </c>
      <c r="D1766" s="3" t="s">
        <v>48</v>
      </c>
      <c r="E1766" s="3" t="s">
        <v>30</v>
      </c>
      <c r="F1766" s="3" t="s">
        <v>91</v>
      </c>
      <c r="G1766" s="3">
        <v>2016</v>
      </c>
      <c r="H1766" s="3" t="str">
        <f>CONCATENATE("64240317939")</f>
        <v>64240317939</v>
      </c>
      <c r="I1766" s="3" t="s">
        <v>25</v>
      </c>
      <c r="J1766" s="3" t="s">
        <v>26</v>
      </c>
      <c r="K1766" s="3" t="str">
        <f t="shared" si="59"/>
        <v/>
      </c>
      <c r="L1766" s="3" t="str">
        <f>CONCATENATE("11 11.2 4b")</f>
        <v>11 11.2 4b</v>
      </c>
      <c r="M1766" s="3" t="str">
        <f>CONCATENATE("PCFPLA66D59M078A")</f>
        <v>PCFPLA66D59M078A</v>
      </c>
      <c r="N1766" s="3" t="s">
        <v>1784</v>
      </c>
      <c r="O1766" s="3"/>
      <c r="P1766" s="4">
        <v>42783</v>
      </c>
      <c r="Q1766" s="3" t="s">
        <v>27</v>
      </c>
      <c r="R1766" s="3" t="s">
        <v>28</v>
      </c>
      <c r="S1766" s="3" t="s">
        <v>29</v>
      </c>
      <c r="T1766" s="5">
        <v>2699.67</v>
      </c>
      <c r="U1766" s="5">
        <v>1164.0999999999999</v>
      </c>
      <c r="V1766" s="5">
        <v>1075.01</v>
      </c>
      <c r="W1766" s="3">
        <v>460.56</v>
      </c>
    </row>
    <row r="1767" spans="1:23" ht="60.75">
      <c r="A1767" s="3" t="s">
        <v>23</v>
      </c>
      <c r="B1767" s="3" t="s">
        <v>24</v>
      </c>
      <c r="C1767" s="3" t="s">
        <v>35</v>
      </c>
      <c r="D1767" s="3" t="s">
        <v>43</v>
      </c>
      <c r="E1767" s="3" t="s">
        <v>100</v>
      </c>
      <c r="F1767" s="3" t="s">
        <v>101</v>
      </c>
      <c r="G1767" s="3">
        <v>2016</v>
      </c>
      <c r="H1767" s="3" t="str">
        <f>CONCATENATE("64240683298")</f>
        <v>64240683298</v>
      </c>
      <c r="I1767" s="3" t="s">
        <v>25</v>
      </c>
      <c r="J1767" s="3" t="s">
        <v>26</v>
      </c>
      <c r="K1767" s="3" t="str">
        <f t="shared" si="59"/>
        <v/>
      </c>
      <c r="L1767" s="3" t="str">
        <f>CONCATENATE("11 11.1 4b")</f>
        <v>11 11.1 4b</v>
      </c>
      <c r="M1767" s="3" t="str">
        <f>CONCATENATE("RFFNNL66L43I459T")</f>
        <v>RFFNNL66L43I459T</v>
      </c>
      <c r="N1767" s="3" t="s">
        <v>1785</v>
      </c>
      <c r="O1767" s="3"/>
      <c r="P1767" s="4">
        <v>42783</v>
      </c>
      <c r="Q1767" s="3" t="s">
        <v>27</v>
      </c>
      <c r="R1767" s="3" t="s">
        <v>28</v>
      </c>
      <c r="S1767" s="3" t="s">
        <v>29</v>
      </c>
      <c r="T1767" s="5">
        <v>2897.76</v>
      </c>
      <c r="U1767" s="5">
        <v>1249.51</v>
      </c>
      <c r="V1767" s="5">
        <v>1153.8900000000001</v>
      </c>
      <c r="W1767" s="3">
        <v>494.36</v>
      </c>
    </row>
    <row r="1768" spans="1:23" ht="60.75">
      <c r="A1768" s="3" t="s">
        <v>23</v>
      </c>
      <c r="B1768" s="3" t="s">
        <v>24</v>
      </c>
      <c r="C1768" s="3" t="s">
        <v>35</v>
      </c>
      <c r="D1768" s="3" t="s">
        <v>48</v>
      </c>
      <c r="E1768" s="3" t="s">
        <v>30</v>
      </c>
      <c r="F1768" s="3" t="s">
        <v>157</v>
      </c>
      <c r="G1768" s="3">
        <v>2016</v>
      </c>
      <c r="H1768" s="3" t="str">
        <f>CONCATENATE("64210792913")</f>
        <v>64210792913</v>
      </c>
      <c r="I1768" s="3" t="s">
        <v>25</v>
      </c>
      <c r="J1768" s="3" t="s">
        <v>26</v>
      </c>
      <c r="K1768" s="3" t="str">
        <f t="shared" si="59"/>
        <v/>
      </c>
      <c r="L1768" s="3" t="str">
        <f>CONCATENATE("13 13.1 4a")</f>
        <v>13 13.1 4a</v>
      </c>
      <c r="M1768" s="3" t="str">
        <f>CONCATENATE("MRZLGN75A18L191E")</f>
        <v>MRZLGN75A18L191E</v>
      </c>
      <c r="N1768" s="3" t="s">
        <v>967</v>
      </c>
      <c r="O1768" s="3"/>
      <c r="P1768" s="4">
        <v>42783</v>
      </c>
      <c r="Q1768" s="3" t="s">
        <v>27</v>
      </c>
      <c r="R1768" s="3" t="s">
        <v>28</v>
      </c>
      <c r="S1768" s="3" t="s">
        <v>29</v>
      </c>
      <c r="T1768" s="5">
        <v>4246.22</v>
      </c>
      <c r="U1768" s="5">
        <v>1830.97</v>
      </c>
      <c r="V1768" s="5">
        <v>1690.84</v>
      </c>
      <c r="W1768" s="3">
        <v>724.41</v>
      </c>
    </row>
    <row r="1769" spans="1:23" ht="60.75">
      <c r="A1769" s="3" t="s">
        <v>23</v>
      </c>
      <c r="B1769" s="3" t="s">
        <v>24</v>
      </c>
      <c r="C1769" s="3" t="s">
        <v>35</v>
      </c>
      <c r="D1769" s="3" t="s">
        <v>48</v>
      </c>
      <c r="E1769" s="3" t="s">
        <v>30</v>
      </c>
      <c r="F1769" s="3" t="s">
        <v>91</v>
      </c>
      <c r="G1769" s="3">
        <v>2016</v>
      </c>
      <c r="H1769" s="3" t="str">
        <f>CONCATENATE("64210866303")</f>
        <v>64210866303</v>
      </c>
      <c r="I1769" s="3" t="s">
        <v>25</v>
      </c>
      <c r="J1769" s="3" t="s">
        <v>26</v>
      </c>
      <c r="K1769" s="3" t="str">
        <f t="shared" si="59"/>
        <v/>
      </c>
      <c r="L1769" s="3" t="str">
        <f>CONCATENATE("13 13.1 4a")</f>
        <v>13 13.1 4a</v>
      </c>
      <c r="M1769" s="3" t="str">
        <f>CONCATENATE("PNIMCN61S53C573E")</f>
        <v>PNIMCN61S53C573E</v>
      </c>
      <c r="N1769" s="3" t="s">
        <v>1786</v>
      </c>
      <c r="O1769" s="3"/>
      <c r="P1769" s="4">
        <v>42783</v>
      </c>
      <c r="Q1769" s="3" t="s">
        <v>27</v>
      </c>
      <c r="R1769" s="3" t="s">
        <v>28</v>
      </c>
      <c r="S1769" s="3" t="s">
        <v>29</v>
      </c>
      <c r="T1769" s="5">
        <v>1064.99</v>
      </c>
      <c r="U1769" s="3">
        <v>459.22</v>
      </c>
      <c r="V1769" s="3">
        <v>424.08</v>
      </c>
      <c r="W1769" s="3">
        <v>181.69</v>
      </c>
    </row>
    <row r="1770" spans="1:23" ht="72.75">
      <c r="A1770" s="3" t="s">
        <v>23</v>
      </c>
      <c r="B1770" s="3" t="s">
        <v>24</v>
      </c>
      <c r="C1770" s="3" t="s">
        <v>35</v>
      </c>
      <c r="D1770" s="3" t="s">
        <v>36</v>
      </c>
      <c r="E1770" s="3" t="s">
        <v>33</v>
      </c>
      <c r="F1770" s="3" t="s">
        <v>360</v>
      </c>
      <c r="G1770" s="3">
        <v>2016</v>
      </c>
      <c r="H1770" s="3" t="str">
        <f>CONCATENATE("64240445532")</f>
        <v>64240445532</v>
      </c>
      <c r="I1770" s="3" t="s">
        <v>25</v>
      </c>
      <c r="J1770" s="3" t="s">
        <v>26</v>
      </c>
      <c r="K1770" s="3" t="str">
        <f t="shared" si="59"/>
        <v/>
      </c>
      <c r="L1770" s="3" t="str">
        <f>CONCATENATE("10 10.1 4b")</f>
        <v>10 10.1 4b</v>
      </c>
      <c r="M1770" s="3" t="str">
        <f>CONCATENATE("PSQRTD63B01H769A")</f>
        <v>PSQRTD63B01H769A</v>
      </c>
      <c r="N1770" s="3" t="s">
        <v>1787</v>
      </c>
      <c r="O1770" s="3"/>
      <c r="P1770" s="4">
        <v>42783</v>
      </c>
      <c r="Q1770" s="3" t="s">
        <v>27</v>
      </c>
      <c r="R1770" s="3" t="s">
        <v>28</v>
      </c>
      <c r="S1770" s="3" t="s">
        <v>29</v>
      </c>
      <c r="T1770" s="5">
        <v>4156.28</v>
      </c>
      <c r="U1770" s="5">
        <v>1792.19</v>
      </c>
      <c r="V1770" s="5">
        <v>1655.03</v>
      </c>
      <c r="W1770" s="3">
        <v>709.06</v>
      </c>
    </row>
    <row r="1771" spans="1:23" ht="48.75">
      <c r="A1771" s="3" t="s">
        <v>23</v>
      </c>
      <c r="B1771" s="3" t="s">
        <v>24</v>
      </c>
      <c r="C1771" s="3" t="s">
        <v>35</v>
      </c>
      <c r="D1771" s="3" t="s">
        <v>39</v>
      </c>
      <c r="E1771" s="3" t="s">
        <v>32</v>
      </c>
      <c r="F1771" s="3" t="s">
        <v>215</v>
      </c>
      <c r="G1771" s="3">
        <v>2016</v>
      </c>
      <c r="H1771" s="3" t="str">
        <f>CONCATENATE("64240344784")</f>
        <v>64240344784</v>
      </c>
      <c r="I1771" s="3" t="s">
        <v>25</v>
      </c>
      <c r="J1771" s="3" t="s">
        <v>26</v>
      </c>
      <c r="K1771" s="3" t="str">
        <f t="shared" si="59"/>
        <v/>
      </c>
      <c r="L1771" s="3" t="str">
        <f>CONCATENATE("11 11.1 4b")</f>
        <v>11 11.1 4b</v>
      </c>
      <c r="M1771" s="3" t="str">
        <f>CONCATENATE("PTTLDI89S49Z110Y")</f>
        <v>PTTLDI89S49Z110Y</v>
      </c>
      <c r="N1771" s="3" t="s">
        <v>1788</v>
      </c>
      <c r="O1771" s="3"/>
      <c r="P1771" s="4">
        <v>42783</v>
      </c>
      <c r="Q1771" s="3" t="s">
        <v>27</v>
      </c>
      <c r="R1771" s="3" t="s">
        <v>28</v>
      </c>
      <c r="S1771" s="3" t="s">
        <v>29</v>
      </c>
      <c r="T1771" s="5">
        <v>3830.26</v>
      </c>
      <c r="U1771" s="5">
        <v>1651.61</v>
      </c>
      <c r="V1771" s="5">
        <v>1525.21</v>
      </c>
      <c r="W1771" s="3">
        <v>653.44000000000005</v>
      </c>
    </row>
    <row r="1772" spans="1:23" ht="72.75">
      <c r="A1772" s="3" t="s">
        <v>23</v>
      </c>
      <c r="B1772" s="3" t="s">
        <v>24</v>
      </c>
      <c r="C1772" s="3" t="s">
        <v>35</v>
      </c>
      <c r="D1772" s="3" t="s">
        <v>43</v>
      </c>
      <c r="E1772" s="3" t="s">
        <v>32</v>
      </c>
      <c r="F1772" s="3" t="s">
        <v>78</v>
      </c>
      <c r="G1772" s="3">
        <v>2016</v>
      </c>
      <c r="H1772" s="3" t="str">
        <f>CONCATENATE("64240547022")</f>
        <v>64240547022</v>
      </c>
      <c r="I1772" s="3" t="s">
        <v>25</v>
      </c>
      <c r="J1772" s="3" t="s">
        <v>26</v>
      </c>
      <c r="K1772" s="3" t="str">
        <f t="shared" si="59"/>
        <v/>
      </c>
      <c r="L1772" s="3" t="str">
        <f>CONCATENATE("11 11.2 4b")</f>
        <v>11 11.2 4b</v>
      </c>
      <c r="M1772" s="3" t="str">
        <f>CONCATENATE("CWNJBT61B44Z126Q")</f>
        <v>CWNJBT61B44Z126Q</v>
      </c>
      <c r="N1772" s="3" t="s">
        <v>1789</v>
      </c>
      <c r="O1772" s="3"/>
      <c r="P1772" s="4">
        <v>42783</v>
      </c>
      <c r="Q1772" s="3" t="s">
        <v>27</v>
      </c>
      <c r="R1772" s="3" t="s">
        <v>28</v>
      </c>
      <c r="S1772" s="3" t="s">
        <v>29</v>
      </c>
      <c r="T1772" s="5">
        <v>2345.02</v>
      </c>
      <c r="U1772" s="5">
        <v>1011.17</v>
      </c>
      <c r="V1772" s="3">
        <v>933.79</v>
      </c>
      <c r="W1772" s="3">
        <v>400.06</v>
      </c>
    </row>
    <row r="1773" spans="1:23" ht="36.75">
      <c r="A1773" s="3" t="s">
        <v>23</v>
      </c>
      <c r="B1773" s="3" t="s">
        <v>24</v>
      </c>
      <c r="C1773" s="3" t="s">
        <v>35</v>
      </c>
      <c r="D1773" s="3" t="s">
        <v>48</v>
      </c>
      <c r="E1773" s="3" t="s">
        <v>49</v>
      </c>
      <c r="F1773" s="3" t="s">
        <v>50</v>
      </c>
      <c r="G1773" s="3">
        <v>2016</v>
      </c>
      <c r="H1773" s="3" t="str">
        <f>CONCATENATE("64240897161")</f>
        <v>64240897161</v>
      </c>
      <c r="I1773" s="3" t="s">
        <v>25</v>
      </c>
      <c r="J1773" s="3" t="s">
        <v>26</v>
      </c>
      <c r="K1773" s="3" t="str">
        <f t="shared" si="59"/>
        <v/>
      </c>
      <c r="L1773" s="3" t="str">
        <f>CONCATENATE("11 11.2 4b")</f>
        <v>11 11.2 4b</v>
      </c>
      <c r="M1773" s="3" t="str">
        <f>CONCATENATE("01888560438")</f>
        <v>01888560438</v>
      </c>
      <c r="N1773" s="3" t="s">
        <v>1790</v>
      </c>
      <c r="O1773" s="3"/>
      <c r="P1773" s="4">
        <v>42783</v>
      </c>
      <c r="Q1773" s="3" t="s">
        <v>27</v>
      </c>
      <c r="R1773" s="3" t="s">
        <v>28</v>
      </c>
      <c r="S1773" s="3" t="s">
        <v>29</v>
      </c>
      <c r="T1773" s="5">
        <v>2849.8</v>
      </c>
      <c r="U1773" s="5">
        <v>1228.83</v>
      </c>
      <c r="V1773" s="5">
        <v>1134.79</v>
      </c>
      <c r="W1773" s="3">
        <v>486.18</v>
      </c>
    </row>
    <row r="1774" spans="1:23" ht="60.75">
      <c r="A1774" s="3" t="s">
        <v>23</v>
      </c>
      <c r="B1774" s="3" t="s">
        <v>24</v>
      </c>
      <c r="C1774" s="3" t="s">
        <v>35</v>
      </c>
      <c r="D1774" s="3" t="s">
        <v>36</v>
      </c>
      <c r="E1774" s="3" t="s">
        <v>30</v>
      </c>
      <c r="F1774" s="3" t="s">
        <v>37</v>
      </c>
      <c r="G1774" s="3">
        <v>2016</v>
      </c>
      <c r="H1774" s="3" t="str">
        <f>CONCATENATE("64240611299")</f>
        <v>64240611299</v>
      </c>
      <c r="I1774" s="3" t="s">
        <v>25</v>
      </c>
      <c r="J1774" s="3" t="s">
        <v>26</v>
      </c>
      <c r="K1774" s="3" t="str">
        <f t="shared" si="59"/>
        <v/>
      </c>
      <c r="L1774" s="3" t="str">
        <f>CONCATENATE("10 10.1 4b")</f>
        <v>10 10.1 4b</v>
      </c>
      <c r="M1774" s="3" t="str">
        <f>CONCATENATE("TMPGPP49R15F549G")</f>
        <v>TMPGPP49R15F549G</v>
      </c>
      <c r="N1774" s="3" t="s">
        <v>1791</v>
      </c>
      <c r="O1774" s="3"/>
      <c r="P1774" s="4">
        <v>42783</v>
      </c>
      <c r="Q1774" s="3" t="s">
        <v>27</v>
      </c>
      <c r="R1774" s="3" t="s">
        <v>28</v>
      </c>
      <c r="S1774" s="3" t="s">
        <v>29</v>
      </c>
      <c r="T1774" s="3">
        <v>799.34</v>
      </c>
      <c r="U1774" s="3">
        <v>344.68</v>
      </c>
      <c r="V1774" s="3">
        <v>318.3</v>
      </c>
      <c r="W1774" s="3">
        <v>136.36000000000001</v>
      </c>
    </row>
    <row r="1775" spans="1:23" ht="60.75">
      <c r="A1775" s="3" t="s">
        <v>23</v>
      </c>
      <c r="B1775" s="3" t="s">
        <v>24</v>
      </c>
      <c r="C1775" s="3" t="s">
        <v>35</v>
      </c>
      <c r="D1775" s="3" t="s">
        <v>43</v>
      </c>
      <c r="E1775" s="3" t="s">
        <v>34</v>
      </c>
      <c r="F1775" s="3" t="s">
        <v>146</v>
      </c>
      <c r="G1775" s="3">
        <v>2016</v>
      </c>
      <c r="H1775" s="3" t="str">
        <f>CONCATENATE("64240303335")</f>
        <v>64240303335</v>
      </c>
      <c r="I1775" s="3" t="s">
        <v>25</v>
      </c>
      <c r="J1775" s="3" t="s">
        <v>26</v>
      </c>
      <c r="K1775" s="3" t="str">
        <f t="shared" si="59"/>
        <v/>
      </c>
      <c r="L1775" s="3" t="str">
        <f>CONCATENATE("11 11.1 4b")</f>
        <v>11 11.1 4b</v>
      </c>
      <c r="M1775" s="3" t="str">
        <f>CONCATENATE("NTNGNN56C55G479B")</f>
        <v>NTNGNN56C55G479B</v>
      </c>
      <c r="N1775" s="3" t="s">
        <v>1792</v>
      </c>
      <c r="O1775" s="3"/>
      <c r="P1775" s="4">
        <v>42783</v>
      </c>
      <c r="Q1775" s="3" t="s">
        <v>27</v>
      </c>
      <c r="R1775" s="3" t="s">
        <v>28</v>
      </c>
      <c r="S1775" s="3" t="s">
        <v>29</v>
      </c>
      <c r="T1775" s="5">
        <v>15945.16</v>
      </c>
      <c r="U1775" s="5">
        <v>6875.55</v>
      </c>
      <c r="V1775" s="5">
        <v>6349.36</v>
      </c>
      <c r="W1775" s="5">
        <v>2720.25</v>
      </c>
    </row>
    <row r="1776" spans="1:23" ht="60.75">
      <c r="A1776" s="3" t="s">
        <v>23</v>
      </c>
      <c r="B1776" s="3" t="s">
        <v>24</v>
      </c>
      <c r="C1776" s="3" t="s">
        <v>35</v>
      </c>
      <c r="D1776" s="3" t="s">
        <v>36</v>
      </c>
      <c r="E1776" s="3" t="s">
        <v>32</v>
      </c>
      <c r="F1776" s="3" t="s">
        <v>208</v>
      </c>
      <c r="G1776" s="3">
        <v>2016</v>
      </c>
      <c r="H1776" s="3" t="str">
        <f>CONCATENATE("64210367690")</f>
        <v>64210367690</v>
      </c>
      <c r="I1776" s="3" t="s">
        <v>25</v>
      </c>
      <c r="J1776" s="3" t="s">
        <v>26</v>
      </c>
      <c r="K1776" s="3" t="str">
        <f t="shared" si="59"/>
        <v/>
      </c>
      <c r="L1776" s="3" t="str">
        <f>CONCATENATE("13 13.1 4a")</f>
        <v>13 13.1 4a</v>
      </c>
      <c r="M1776" s="3" t="str">
        <f>CONCATENATE("FNAGLI42B27H588S")</f>
        <v>FNAGLI42B27H588S</v>
      </c>
      <c r="N1776" s="3" t="s">
        <v>1793</v>
      </c>
      <c r="O1776" s="3"/>
      <c r="P1776" s="4">
        <v>42783</v>
      </c>
      <c r="Q1776" s="3" t="s">
        <v>27</v>
      </c>
      <c r="R1776" s="3" t="s">
        <v>28</v>
      </c>
      <c r="S1776" s="3" t="s">
        <v>29</v>
      </c>
      <c r="T1776" s="5">
        <v>1679.37</v>
      </c>
      <c r="U1776" s="3">
        <v>724.14</v>
      </c>
      <c r="V1776" s="3">
        <v>668.73</v>
      </c>
      <c r="W1776" s="3">
        <v>286.5</v>
      </c>
    </row>
    <row r="1777" spans="1:23" ht="36.75">
      <c r="A1777" s="3" t="s">
        <v>23</v>
      </c>
      <c r="B1777" s="3" t="s">
        <v>24</v>
      </c>
      <c r="C1777" s="3" t="s">
        <v>35</v>
      </c>
      <c r="D1777" s="3" t="s">
        <v>39</v>
      </c>
      <c r="E1777" s="3" t="s">
        <v>33</v>
      </c>
      <c r="F1777" s="3" t="s">
        <v>498</v>
      </c>
      <c r="G1777" s="3">
        <v>2016</v>
      </c>
      <c r="H1777" s="3" t="str">
        <f>CONCATENATE("64240545117")</f>
        <v>64240545117</v>
      </c>
      <c r="I1777" s="3" t="s">
        <v>25</v>
      </c>
      <c r="J1777" s="3" t="s">
        <v>26</v>
      </c>
      <c r="K1777" s="3" t="str">
        <f t="shared" si="59"/>
        <v/>
      </c>
      <c r="L1777" s="3" t="str">
        <f>CONCATENATE("11 11.2 4b")</f>
        <v>11 11.2 4b</v>
      </c>
      <c r="M1777" s="3" t="str">
        <f>CONCATENATE("02688590427")</f>
        <v>02688590427</v>
      </c>
      <c r="N1777" s="3" t="s">
        <v>1794</v>
      </c>
      <c r="O1777" s="3"/>
      <c r="P1777" s="4">
        <v>42783</v>
      </c>
      <c r="Q1777" s="3" t="s">
        <v>27</v>
      </c>
      <c r="R1777" s="3" t="s">
        <v>28</v>
      </c>
      <c r="S1777" s="3" t="s">
        <v>29</v>
      </c>
      <c r="T1777" s="5">
        <v>4621.3999999999996</v>
      </c>
      <c r="U1777" s="5">
        <v>1992.75</v>
      </c>
      <c r="V1777" s="5">
        <v>1840.24</v>
      </c>
      <c r="W1777" s="3">
        <v>788.41</v>
      </c>
    </row>
    <row r="1778" spans="1:23" ht="60.75">
      <c r="A1778" s="3" t="s">
        <v>23</v>
      </c>
      <c r="B1778" s="3" t="s">
        <v>24</v>
      </c>
      <c r="C1778" s="3" t="s">
        <v>35</v>
      </c>
      <c r="D1778" s="3" t="s">
        <v>36</v>
      </c>
      <c r="E1778" s="3" t="s">
        <v>33</v>
      </c>
      <c r="F1778" s="3" t="s">
        <v>95</v>
      </c>
      <c r="G1778" s="3">
        <v>2016</v>
      </c>
      <c r="H1778" s="3" t="str">
        <f>CONCATENATE("64240634630")</f>
        <v>64240634630</v>
      </c>
      <c r="I1778" s="3" t="s">
        <v>25</v>
      </c>
      <c r="J1778" s="3" t="s">
        <v>26</v>
      </c>
      <c r="K1778" s="3" t="str">
        <f t="shared" si="59"/>
        <v/>
      </c>
      <c r="L1778" s="3" t="str">
        <f>CONCATENATE("11 11.2 4b")</f>
        <v>11 11.2 4b</v>
      </c>
      <c r="M1778" s="3" t="str">
        <f>CONCATENATE("CPRRTI47E65D760I")</f>
        <v>CPRRTI47E65D760I</v>
      </c>
      <c r="N1778" s="3" t="s">
        <v>1795</v>
      </c>
      <c r="O1778" s="3"/>
      <c r="P1778" s="4">
        <v>42783</v>
      </c>
      <c r="Q1778" s="3" t="s">
        <v>27</v>
      </c>
      <c r="R1778" s="3" t="s">
        <v>28</v>
      </c>
      <c r="S1778" s="3" t="s">
        <v>29</v>
      </c>
      <c r="T1778" s="5">
        <v>2505.33</v>
      </c>
      <c r="U1778" s="5">
        <v>1080.3</v>
      </c>
      <c r="V1778" s="3">
        <v>997.62</v>
      </c>
      <c r="W1778" s="3">
        <v>427.41</v>
      </c>
    </row>
    <row r="1779" spans="1:23" ht="36.75">
      <c r="A1779" s="3" t="s">
        <v>23</v>
      </c>
      <c r="B1779" s="3" t="s">
        <v>24</v>
      </c>
      <c r="C1779" s="3" t="s">
        <v>35</v>
      </c>
      <c r="D1779" s="3" t="s">
        <v>43</v>
      </c>
      <c r="E1779" s="3" t="s">
        <v>30</v>
      </c>
      <c r="F1779" s="3" t="s">
        <v>199</v>
      </c>
      <c r="G1779" s="3">
        <v>2016</v>
      </c>
      <c r="H1779" s="3" t="str">
        <f>CONCATENATE("64240757951")</f>
        <v>64240757951</v>
      </c>
      <c r="I1779" s="3" t="s">
        <v>25</v>
      </c>
      <c r="J1779" s="3" t="s">
        <v>26</v>
      </c>
      <c r="K1779" s="3" t="str">
        <f t="shared" si="59"/>
        <v/>
      </c>
      <c r="L1779" s="3" t="str">
        <f>CONCATENATE("11 11.2 4b")</f>
        <v>11 11.2 4b</v>
      </c>
      <c r="M1779" s="3" t="str">
        <f>CONCATENATE("02392800419")</f>
        <v>02392800419</v>
      </c>
      <c r="N1779" s="3" t="s">
        <v>1796</v>
      </c>
      <c r="O1779" s="3"/>
      <c r="P1779" s="4">
        <v>42783</v>
      </c>
      <c r="Q1779" s="3" t="s">
        <v>27</v>
      </c>
      <c r="R1779" s="3" t="s">
        <v>28</v>
      </c>
      <c r="S1779" s="3" t="s">
        <v>29</v>
      </c>
      <c r="T1779" s="5">
        <v>4493.63</v>
      </c>
      <c r="U1779" s="5">
        <v>1937.65</v>
      </c>
      <c r="V1779" s="5">
        <v>1789.36</v>
      </c>
      <c r="W1779" s="3">
        <v>766.62</v>
      </c>
    </row>
    <row r="1780" spans="1:23" ht="36.75">
      <c r="A1780" s="3" t="s">
        <v>23</v>
      </c>
      <c r="B1780" s="3" t="s">
        <v>24</v>
      </c>
      <c r="C1780" s="3" t="s">
        <v>35</v>
      </c>
      <c r="D1780" s="3" t="s">
        <v>48</v>
      </c>
      <c r="E1780" s="3" t="s">
        <v>30</v>
      </c>
      <c r="F1780" s="3" t="s">
        <v>236</v>
      </c>
      <c r="G1780" s="3">
        <v>2016</v>
      </c>
      <c r="H1780" s="3" t="str">
        <f>CONCATENATE("64240769881")</f>
        <v>64240769881</v>
      </c>
      <c r="I1780" s="3" t="s">
        <v>25</v>
      </c>
      <c r="J1780" s="3" t="s">
        <v>26</v>
      </c>
      <c r="K1780" s="3" t="str">
        <f t="shared" si="59"/>
        <v/>
      </c>
      <c r="L1780" s="3" t="str">
        <f>CONCATENATE("11 11.1 4b")</f>
        <v>11 11.1 4b</v>
      </c>
      <c r="M1780" s="3" t="str">
        <f>CONCATENATE("01916370438")</f>
        <v>01916370438</v>
      </c>
      <c r="N1780" s="3" t="s">
        <v>1797</v>
      </c>
      <c r="O1780" s="3"/>
      <c r="P1780" s="4">
        <v>42783</v>
      </c>
      <c r="Q1780" s="3" t="s">
        <v>27</v>
      </c>
      <c r="R1780" s="3" t="s">
        <v>28</v>
      </c>
      <c r="S1780" s="3" t="s">
        <v>29</v>
      </c>
      <c r="T1780" s="5">
        <v>26886.09</v>
      </c>
      <c r="U1780" s="5">
        <v>11593.28</v>
      </c>
      <c r="V1780" s="5">
        <v>10706.04</v>
      </c>
      <c r="W1780" s="5">
        <v>4586.7700000000004</v>
      </c>
    </row>
    <row r="1781" spans="1:23" ht="36.75">
      <c r="A1781" s="3" t="s">
        <v>23</v>
      </c>
      <c r="B1781" s="3" t="s">
        <v>24</v>
      </c>
      <c r="C1781" s="3" t="s">
        <v>35</v>
      </c>
      <c r="D1781" s="3" t="s">
        <v>39</v>
      </c>
      <c r="E1781" s="3" t="s">
        <v>30</v>
      </c>
      <c r="F1781" s="3" t="s">
        <v>84</v>
      </c>
      <c r="G1781" s="3">
        <v>2016</v>
      </c>
      <c r="H1781" s="3" t="str">
        <f>CONCATENATE("64240741013")</f>
        <v>64240741013</v>
      </c>
      <c r="I1781" s="3" t="s">
        <v>25</v>
      </c>
      <c r="J1781" s="3" t="s">
        <v>26</v>
      </c>
      <c r="K1781" s="3" t="str">
        <f t="shared" si="59"/>
        <v/>
      </c>
      <c r="L1781" s="3" t="str">
        <f>CONCATENATE("11 11.1 4b")</f>
        <v>11 11.1 4b</v>
      </c>
      <c r="M1781" s="3" t="str">
        <f>CONCATENATE("02711460424")</f>
        <v>02711460424</v>
      </c>
      <c r="N1781" s="3" t="s">
        <v>1798</v>
      </c>
      <c r="O1781" s="3"/>
      <c r="P1781" s="4">
        <v>42783</v>
      </c>
      <c r="Q1781" s="3" t="s">
        <v>27</v>
      </c>
      <c r="R1781" s="3" t="s">
        <v>28</v>
      </c>
      <c r="S1781" s="3" t="s">
        <v>29</v>
      </c>
      <c r="T1781" s="5">
        <v>6614.13</v>
      </c>
      <c r="U1781" s="5">
        <v>2852.01</v>
      </c>
      <c r="V1781" s="5">
        <v>2633.75</v>
      </c>
      <c r="W1781" s="5">
        <v>1128.3699999999999</v>
      </c>
    </row>
    <row r="1782" spans="1:23" ht="36.75">
      <c r="A1782" s="3" t="s">
        <v>23</v>
      </c>
      <c r="B1782" s="3" t="s">
        <v>24</v>
      </c>
      <c r="C1782" s="3" t="s">
        <v>35</v>
      </c>
      <c r="D1782" s="3" t="s">
        <v>36</v>
      </c>
      <c r="E1782" s="3" t="s">
        <v>30</v>
      </c>
      <c r="F1782" s="3" t="s">
        <v>257</v>
      </c>
      <c r="G1782" s="3">
        <v>2016</v>
      </c>
      <c r="H1782" s="3" t="str">
        <f>CONCATENATE("64240398814")</f>
        <v>64240398814</v>
      </c>
      <c r="I1782" s="3" t="s">
        <v>25</v>
      </c>
      <c r="J1782" s="3" t="s">
        <v>26</v>
      </c>
      <c r="K1782" s="3" t="str">
        <f t="shared" si="59"/>
        <v/>
      </c>
      <c r="L1782" s="3" t="str">
        <f>CONCATENATE("11 11.2 4b")</f>
        <v>11 11.2 4b</v>
      </c>
      <c r="M1782" s="3" t="str">
        <f>CONCATENATE("00902090448")</f>
        <v>00902090448</v>
      </c>
      <c r="N1782" s="3" t="s">
        <v>1799</v>
      </c>
      <c r="O1782" s="3"/>
      <c r="P1782" s="4">
        <v>42783</v>
      </c>
      <c r="Q1782" s="3" t="s">
        <v>27</v>
      </c>
      <c r="R1782" s="3" t="s">
        <v>28</v>
      </c>
      <c r="S1782" s="3" t="s">
        <v>29</v>
      </c>
      <c r="T1782" s="5">
        <v>14470.12</v>
      </c>
      <c r="U1782" s="5">
        <v>6239.52</v>
      </c>
      <c r="V1782" s="5">
        <v>5762</v>
      </c>
      <c r="W1782" s="5">
        <v>2468.6</v>
      </c>
    </row>
    <row r="1783" spans="1:23" ht="60.75">
      <c r="A1783" s="3" t="s">
        <v>23</v>
      </c>
      <c r="B1783" s="3" t="s">
        <v>24</v>
      </c>
      <c r="C1783" s="3" t="s">
        <v>35</v>
      </c>
      <c r="D1783" s="3" t="s">
        <v>39</v>
      </c>
      <c r="E1783" s="3" t="s">
        <v>32</v>
      </c>
      <c r="F1783" s="3" t="s">
        <v>215</v>
      </c>
      <c r="G1783" s="3">
        <v>2016</v>
      </c>
      <c r="H1783" s="3" t="str">
        <f>CONCATENATE("64240344347")</f>
        <v>64240344347</v>
      </c>
      <c r="I1783" s="3" t="s">
        <v>25</v>
      </c>
      <c r="J1783" s="3" t="s">
        <v>26</v>
      </c>
      <c r="K1783" s="3" t="str">
        <f t="shared" si="59"/>
        <v/>
      </c>
      <c r="L1783" s="3" t="str">
        <f>CONCATENATE("11 11.1 4b")</f>
        <v>11 11.1 4b</v>
      </c>
      <c r="M1783" s="3" t="str">
        <f>CONCATENATE("FDRBNR58P20E388X")</f>
        <v>FDRBNR58P20E388X</v>
      </c>
      <c r="N1783" s="3" t="s">
        <v>1800</v>
      </c>
      <c r="O1783" s="3"/>
      <c r="P1783" s="4">
        <v>42783</v>
      </c>
      <c r="Q1783" s="3" t="s">
        <v>27</v>
      </c>
      <c r="R1783" s="3" t="s">
        <v>28</v>
      </c>
      <c r="S1783" s="3" t="s">
        <v>29</v>
      </c>
      <c r="T1783" s="5">
        <v>8825.9500000000007</v>
      </c>
      <c r="U1783" s="5">
        <v>3805.75</v>
      </c>
      <c r="V1783" s="5">
        <v>3514.49</v>
      </c>
      <c r="W1783" s="5">
        <v>1505.71</v>
      </c>
    </row>
    <row r="1784" spans="1:23" ht="60.75">
      <c r="A1784" s="3" t="s">
        <v>23</v>
      </c>
      <c r="B1784" s="3" t="s">
        <v>24</v>
      </c>
      <c r="C1784" s="3" t="s">
        <v>35</v>
      </c>
      <c r="D1784" s="3" t="s">
        <v>43</v>
      </c>
      <c r="E1784" s="3" t="s">
        <v>34</v>
      </c>
      <c r="F1784" s="3" t="s">
        <v>146</v>
      </c>
      <c r="G1784" s="3">
        <v>2016</v>
      </c>
      <c r="H1784" s="3" t="str">
        <f>CONCATENATE("64240170825")</f>
        <v>64240170825</v>
      </c>
      <c r="I1784" s="3" t="s">
        <v>25</v>
      </c>
      <c r="J1784" s="3" t="s">
        <v>26</v>
      </c>
      <c r="K1784" s="3" t="str">
        <f t="shared" si="59"/>
        <v/>
      </c>
      <c r="L1784" s="3" t="str">
        <f>CONCATENATE("11 11.1 4b")</f>
        <v>11 11.1 4b</v>
      </c>
      <c r="M1784" s="3" t="str">
        <f>CONCATENATE("VNGLCU77P23H501A")</f>
        <v>VNGLCU77P23H501A</v>
      </c>
      <c r="N1784" s="3" t="s">
        <v>1801</v>
      </c>
      <c r="O1784" s="3"/>
      <c r="P1784" s="4">
        <v>42783</v>
      </c>
      <c r="Q1784" s="3" t="s">
        <v>27</v>
      </c>
      <c r="R1784" s="3" t="s">
        <v>28</v>
      </c>
      <c r="S1784" s="3" t="s">
        <v>29</v>
      </c>
      <c r="T1784" s="5">
        <v>3242.8</v>
      </c>
      <c r="U1784" s="5">
        <v>1398.3</v>
      </c>
      <c r="V1784" s="5">
        <v>1291.28</v>
      </c>
      <c r="W1784" s="3">
        <v>553.22</v>
      </c>
    </row>
    <row r="1785" spans="1:23" ht="60.75">
      <c r="A1785" s="3" t="s">
        <v>23</v>
      </c>
      <c r="B1785" s="3" t="s">
        <v>24</v>
      </c>
      <c r="C1785" s="3" t="s">
        <v>35</v>
      </c>
      <c r="D1785" s="3" t="s">
        <v>39</v>
      </c>
      <c r="E1785" s="3" t="s">
        <v>30</v>
      </c>
      <c r="F1785" s="3" t="s">
        <v>84</v>
      </c>
      <c r="G1785" s="3">
        <v>2016</v>
      </c>
      <c r="H1785" s="3" t="str">
        <f>CONCATENATE("64210993214")</f>
        <v>64210993214</v>
      </c>
      <c r="I1785" s="3" t="s">
        <v>25</v>
      </c>
      <c r="J1785" s="3" t="s">
        <v>26</v>
      </c>
      <c r="K1785" s="3" t="str">
        <f t="shared" si="59"/>
        <v/>
      </c>
      <c r="L1785" s="3" t="str">
        <f>CONCATENATE("13 13.1 4a")</f>
        <v>13 13.1 4a</v>
      </c>
      <c r="M1785" s="3" t="str">
        <f>CONCATENATE("STRRNZ60S18D451J")</f>
        <v>STRRNZ60S18D451J</v>
      </c>
      <c r="N1785" s="3" t="s">
        <v>1478</v>
      </c>
      <c r="O1785" s="3"/>
      <c r="P1785" s="4">
        <v>42783</v>
      </c>
      <c r="Q1785" s="3" t="s">
        <v>27</v>
      </c>
      <c r="R1785" s="3" t="s">
        <v>28</v>
      </c>
      <c r="S1785" s="3" t="s">
        <v>29</v>
      </c>
      <c r="T1785" s="5">
        <v>2897.37</v>
      </c>
      <c r="U1785" s="5">
        <v>1249.3499999999999</v>
      </c>
      <c r="V1785" s="5">
        <v>1153.73</v>
      </c>
      <c r="W1785" s="3">
        <v>494.29</v>
      </c>
    </row>
    <row r="1786" spans="1:23" ht="60.75">
      <c r="A1786" s="3" t="s">
        <v>23</v>
      </c>
      <c r="B1786" s="3" t="s">
        <v>24</v>
      </c>
      <c r="C1786" s="3" t="s">
        <v>35</v>
      </c>
      <c r="D1786" s="3" t="s">
        <v>36</v>
      </c>
      <c r="E1786" s="3" t="s">
        <v>30</v>
      </c>
      <c r="F1786" s="3" t="s">
        <v>323</v>
      </c>
      <c r="G1786" s="3">
        <v>2016</v>
      </c>
      <c r="H1786" s="3" t="str">
        <f>CONCATENATE("64240923751")</f>
        <v>64240923751</v>
      </c>
      <c r="I1786" s="3" t="s">
        <v>25</v>
      </c>
      <c r="J1786" s="3" t="s">
        <v>26</v>
      </c>
      <c r="K1786" s="3" t="str">
        <f t="shared" si="59"/>
        <v/>
      </c>
      <c r="L1786" s="3" t="str">
        <f>CONCATENATE("11 11.1 4b")</f>
        <v>11 11.1 4b</v>
      </c>
      <c r="M1786" s="3" t="str">
        <f>CONCATENATE("CPCGLC78L28A462D")</f>
        <v>CPCGLC78L28A462D</v>
      </c>
      <c r="N1786" s="3" t="s">
        <v>1802</v>
      </c>
      <c r="O1786" s="3"/>
      <c r="P1786" s="4">
        <v>42783</v>
      </c>
      <c r="Q1786" s="3" t="s">
        <v>27</v>
      </c>
      <c r="R1786" s="3" t="s">
        <v>28</v>
      </c>
      <c r="S1786" s="3" t="s">
        <v>29</v>
      </c>
      <c r="T1786" s="5">
        <v>4297.04</v>
      </c>
      <c r="U1786" s="5">
        <v>1852.88</v>
      </c>
      <c r="V1786" s="5">
        <v>1711.08</v>
      </c>
      <c r="W1786" s="3">
        <v>733.08</v>
      </c>
    </row>
    <row r="1787" spans="1:23" ht="72.75">
      <c r="A1787" s="3" t="s">
        <v>23</v>
      </c>
      <c r="B1787" s="3" t="s">
        <v>24</v>
      </c>
      <c r="C1787" s="3" t="s">
        <v>35</v>
      </c>
      <c r="D1787" s="3" t="s">
        <v>36</v>
      </c>
      <c r="E1787" s="3" t="s">
        <v>42</v>
      </c>
      <c r="F1787" s="3" t="s">
        <v>42</v>
      </c>
      <c r="G1787" s="3">
        <v>2016</v>
      </c>
      <c r="H1787" s="3" t="str">
        <f>CONCATENATE("64240234704")</f>
        <v>64240234704</v>
      </c>
      <c r="I1787" s="3" t="s">
        <v>25</v>
      </c>
      <c r="J1787" s="3" t="s">
        <v>26</v>
      </c>
      <c r="K1787" s="3" t="str">
        <f t="shared" si="59"/>
        <v/>
      </c>
      <c r="L1787" s="3" t="str">
        <f>CONCATENATE("11 11.2 4b")</f>
        <v>11 11.2 4b</v>
      </c>
      <c r="M1787" s="3" t="str">
        <f>CONCATENATE("CPNMRZ75H09H769O")</f>
        <v>CPNMRZ75H09H769O</v>
      </c>
      <c r="N1787" s="3" t="s">
        <v>1803</v>
      </c>
      <c r="O1787" s="3"/>
      <c r="P1787" s="4">
        <v>42783</v>
      </c>
      <c r="Q1787" s="3" t="s">
        <v>27</v>
      </c>
      <c r="R1787" s="3" t="s">
        <v>28</v>
      </c>
      <c r="S1787" s="3" t="s">
        <v>29</v>
      </c>
      <c r="T1787" s="5">
        <v>13862.3</v>
      </c>
      <c r="U1787" s="5">
        <v>5977.42</v>
      </c>
      <c r="V1787" s="5">
        <v>5519.97</v>
      </c>
      <c r="W1787" s="5">
        <v>2364.91</v>
      </c>
    </row>
    <row r="1788" spans="1:23" ht="36.75">
      <c r="A1788" s="3" t="s">
        <v>23</v>
      </c>
      <c r="B1788" s="3" t="s">
        <v>24</v>
      </c>
      <c r="C1788" s="3" t="s">
        <v>35</v>
      </c>
      <c r="D1788" s="3" t="s">
        <v>36</v>
      </c>
      <c r="E1788" s="3" t="s">
        <v>30</v>
      </c>
      <c r="F1788" s="3" t="s">
        <v>257</v>
      </c>
      <c r="G1788" s="3">
        <v>2016</v>
      </c>
      <c r="H1788" s="3" t="str">
        <f>CONCATENATE("64240742821")</f>
        <v>64240742821</v>
      </c>
      <c r="I1788" s="3" t="s">
        <v>25</v>
      </c>
      <c r="J1788" s="3" t="s">
        <v>26</v>
      </c>
      <c r="K1788" s="3" t="str">
        <f t="shared" si="59"/>
        <v/>
      </c>
      <c r="L1788" s="3" t="str">
        <f>CONCATENATE("11 11.2 4b")</f>
        <v>11 11.2 4b</v>
      </c>
      <c r="M1788" s="3" t="str">
        <f>CONCATENATE("00489370445")</f>
        <v>00489370445</v>
      </c>
      <c r="N1788" s="3" t="s">
        <v>1804</v>
      </c>
      <c r="O1788" s="3"/>
      <c r="P1788" s="4">
        <v>42783</v>
      </c>
      <c r="Q1788" s="3" t="s">
        <v>27</v>
      </c>
      <c r="R1788" s="3" t="s">
        <v>28</v>
      </c>
      <c r="S1788" s="3" t="s">
        <v>29</v>
      </c>
      <c r="T1788" s="5">
        <v>5989</v>
      </c>
      <c r="U1788" s="5">
        <v>2582.46</v>
      </c>
      <c r="V1788" s="5">
        <v>2384.8200000000002</v>
      </c>
      <c r="W1788" s="5">
        <v>1021.72</v>
      </c>
    </row>
    <row r="1789" spans="1:23" ht="36.75">
      <c r="A1789" s="3" t="s">
        <v>23</v>
      </c>
      <c r="B1789" s="3" t="s">
        <v>24</v>
      </c>
      <c r="C1789" s="3" t="s">
        <v>35</v>
      </c>
      <c r="D1789" s="3" t="s">
        <v>43</v>
      </c>
      <c r="E1789" s="3" t="s">
        <v>30</v>
      </c>
      <c r="F1789" s="3" t="s">
        <v>104</v>
      </c>
      <c r="G1789" s="3">
        <v>2016</v>
      </c>
      <c r="H1789" s="3" t="str">
        <f>CONCATENATE("64240314969")</f>
        <v>64240314969</v>
      </c>
      <c r="I1789" s="3" t="s">
        <v>25</v>
      </c>
      <c r="J1789" s="3" t="s">
        <v>26</v>
      </c>
      <c r="K1789" s="3" t="str">
        <f t="shared" si="59"/>
        <v/>
      </c>
      <c r="L1789" s="3" t="str">
        <f>CONCATENATE("11 11.2 4b")</f>
        <v>11 11.2 4b</v>
      </c>
      <c r="M1789" s="3" t="str">
        <f>CONCATENATE("01395000415")</f>
        <v>01395000415</v>
      </c>
      <c r="N1789" s="3" t="s">
        <v>1805</v>
      </c>
      <c r="O1789" s="3"/>
      <c r="P1789" s="4">
        <v>42783</v>
      </c>
      <c r="Q1789" s="3" t="s">
        <v>27</v>
      </c>
      <c r="R1789" s="3" t="s">
        <v>28</v>
      </c>
      <c r="S1789" s="3" t="s">
        <v>29</v>
      </c>
      <c r="T1789" s="5">
        <v>10795.06</v>
      </c>
      <c r="U1789" s="5">
        <v>4654.83</v>
      </c>
      <c r="V1789" s="5">
        <v>4298.59</v>
      </c>
      <c r="W1789" s="5">
        <v>1841.64</v>
      </c>
    </row>
    <row r="1790" spans="1:23" ht="36.75">
      <c r="A1790" s="3" t="s">
        <v>23</v>
      </c>
      <c r="B1790" s="3" t="s">
        <v>24</v>
      </c>
      <c r="C1790" s="3" t="s">
        <v>35</v>
      </c>
      <c r="D1790" s="3" t="s">
        <v>39</v>
      </c>
      <c r="E1790" s="3" t="s">
        <v>30</v>
      </c>
      <c r="F1790" s="3" t="s">
        <v>84</v>
      </c>
      <c r="G1790" s="3">
        <v>2016</v>
      </c>
      <c r="H1790" s="3" t="str">
        <f>CONCATENATE("64210738809")</f>
        <v>64210738809</v>
      </c>
      <c r="I1790" s="3" t="s">
        <v>25</v>
      </c>
      <c r="J1790" s="3" t="s">
        <v>26</v>
      </c>
      <c r="K1790" s="3" t="str">
        <f t="shared" si="59"/>
        <v/>
      </c>
      <c r="L1790" s="3" t="str">
        <f>CONCATENATE("13 13.1 4a")</f>
        <v>13 13.1 4a</v>
      </c>
      <c r="M1790" s="3" t="str">
        <f>CONCATENATE("01491760425")</f>
        <v>01491760425</v>
      </c>
      <c r="N1790" s="3" t="s">
        <v>1806</v>
      </c>
      <c r="O1790" s="3"/>
      <c r="P1790" s="4">
        <v>42783</v>
      </c>
      <c r="Q1790" s="3" t="s">
        <v>27</v>
      </c>
      <c r="R1790" s="3" t="s">
        <v>28</v>
      </c>
      <c r="S1790" s="3" t="s">
        <v>29</v>
      </c>
      <c r="T1790" s="5">
        <v>5238</v>
      </c>
      <c r="U1790" s="5">
        <v>2258.63</v>
      </c>
      <c r="V1790" s="5">
        <v>2085.77</v>
      </c>
      <c r="W1790" s="3">
        <v>893.6</v>
      </c>
    </row>
    <row r="1791" spans="1:23" ht="60.75">
      <c r="A1791" s="3" t="s">
        <v>23</v>
      </c>
      <c r="B1791" s="3" t="s">
        <v>24</v>
      </c>
      <c r="C1791" s="3" t="s">
        <v>35</v>
      </c>
      <c r="D1791" s="3" t="s">
        <v>36</v>
      </c>
      <c r="E1791" s="3" t="s">
        <v>59</v>
      </c>
      <c r="F1791" s="3" t="s">
        <v>62</v>
      </c>
      <c r="G1791" s="3">
        <v>2016</v>
      </c>
      <c r="H1791" s="3" t="str">
        <f>CONCATENATE("64240624854")</f>
        <v>64240624854</v>
      </c>
      <c r="I1791" s="3" t="s">
        <v>25</v>
      </c>
      <c r="J1791" s="3" t="s">
        <v>26</v>
      </c>
      <c r="K1791" s="3" t="str">
        <f t="shared" si="59"/>
        <v/>
      </c>
      <c r="L1791" s="3" t="str">
        <f>CONCATENATE("11 11.2 4b")</f>
        <v>11 11.2 4b</v>
      </c>
      <c r="M1791" s="3" t="str">
        <f>CONCATENATE("LBRPFR94H03H769C")</f>
        <v>LBRPFR94H03H769C</v>
      </c>
      <c r="N1791" s="3" t="s">
        <v>1807</v>
      </c>
      <c r="O1791" s="3"/>
      <c r="P1791" s="4">
        <v>42783</v>
      </c>
      <c r="Q1791" s="3" t="s">
        <v>27</v>
      </c>
      <c r="R1791" s="3" t="s">
        <v>28</v>
      </c>
      <c r="S1791" s="3" t="s">
        <v>29</v>
      </c>
      <c r="T1791" s="5">
        <v>6964.26</v>
      </c>
      <c r="U1791" s="5">
        <v>3002.99</v>
      </c>
      <c r="V1791" s="5">
        <v>2773.17</v>
      </c>
      <c r="W1791" s="5">
        <v>1188.0999999999999</v>
      </c>
    </row>
    <row r="1792" spans="1:23" ht="36.75">
      <c r="A1792" s="3" t="s">
        <v>23</v>
      </c>
      <c r="B1792" s="3" t="s">
        <v>24</v>
      </c>
      <c r="C1792" s="3" t="s">
        <v>35</v>
      </c>
      <c r="D1792" s="3" t="s">
        <v>43</v>
      </c>
      <c r="E1792" s="3" t="s">
        <v>49</v>
      </c>
      <c r="F1792" s="3" t="s">
        <v>139</v>
      </c>
      <c r="G1792" s="3">
        <v>2016</v>
      </c>
      <c r="H1792" s="3" t="str">
        <f>CONCATENATE("64240369161")</f>
        <v>64240369161</v>
      </c>
      <c r="I1792" s="3" t="s">
        <v>25</v>
      </c>
      <c r="J1792" s="3" t="s">
        <v>26</v>
      </c>
      <c r="K1792" s="3" t="str">
        <f t="shared" si="59"/>
        <v/>
      </c>
      <c r="L1792" s="3" t="str">
        <f>CONCATENATE("11 11.2 4b")</f>
        <v>11 11.2 4b</v>
      </c>
      <c r="M1792" s="3" t="str">
        <f>CONCATENATE("01343830418")</f>
        <v>01343830418</v>
      </c>
      <c r="N1792" s="3" t="s">
        <v>1808</v>
      </c>
      <c r="O1792" s="3"/>
      <c r="P1792" s="4">
        <v>42783</v>
      </c>
      <c r="Q1792" s="3" t="s">
        <v>27</v>
      </c>
      <c r="R1792" s="3" t="s">
        <v>28</v>
      </c>
      <c r="S1792" s="3" t="s">
        <v>29</v>
      </c>
      <c r="T1792" s="5">
        <v>19917.73</v>
      </c>
      <c r="U1792" s="5">
        <v>8588.5300000000007</v>
      </c>
      <c r="V1792" s="5">
        <v>7931.24</v>
      </c>
      <c r="W1792" s="5">
        <v>3397.96</v>
      </c>
    </row>
    <row r="1793" spans="1:23" ht="60.75">
      <c r="A1793" s="3" t="s">
        <v>23</v>
      </c>
      <c r="B1793" s="3" t="s">
        <v>24</v>
      </c>
      <c r="C1793" s="3" t="s">
        <v>35</v>
      </c>
      <c r="D1793" s="3" t="s">
        <v>48</v>
      </c>
      <c r="E1793" s="3" t="s">
        <v>49</v>
      </c>
      <c r="F1793" s="3" t="s">
        <v>50</v>
      </c>
      <c r="G1793" s="3">
        <v>2016</v>
      </c>
      <c r="H1793" s="3" t="str">
        <f>CONCATENATE("64240299616")</f>
        <v>64240299616</v>
      </c>
      <c r="I1793" s="3" t="s">
        <v>25</v>
      </c>
      <c r="J1793" s="3" t="s">
        <v>26</v>
      </c>
      <c r="K1793" s="3" t="str">
        <f t="shared" si="59"/>
        <v/>
      </c>
      <c r="L1793" s="3" t="str">
        <f>CONCATENATE("11 11.1 4b")</f>
        <v>11 11.1 4b</v>
      </c>
      <c r="M1793" s="3" t="str">
        <f>CONCATENATE("BNDPRN70S14F749M")</f>
        <v>BNDPRN70S14F749M</v>
      </c>
      <c r="N1793" s="3" t="s">
        <v>1809</v>
      </c>
      <c r="O1793" s="3"/>
      <c r="P1793" s="4">
        <v>42783</v>
      </c>
      <c r="Q1793" s="3" t="s">
        <v>27</v>
      </c>
      <c r="R1793" s="3" t="s">
        <v>28</v>
      </c>
      <c r="S1793" s="3" t="s">
        <v>29</v>
      </c>
      <c r="T1793" s="5">
        <v>1098.92</v>
      </c>
      <c r="U1793" s="3">
        <v>473.85</v>
      </c>
      <c r="V1793" s="3">
        <v>437.59</v>
      </c>
      <c r="W1793" s="3">
        <v>187.48</v>
      </c>
    </row>
    <row r="1794" spans="1:23" ht="60.75">
      <c r="A1794" s="3" t="s">
        <v>23</v>
      </c>
      <c r="B1794" s="3" t="s">
        <v>24</v>
      </c>
      <c r="C1794" s="3" t="s">
        <v>35</v>
      </c>
      <c r="D1794" s="3" t="s">
        <v>36</v>
      </c>
      <c r="E1794" s="3" t="s">
        <v>33</v>
      </c>
      <c r="F1794" s="3" t="s">
        <v>89</v>
      </c>
      <c r="G1794" s="3">
        <v>2016</v>
      </c>
      <c r="H1794" s="3" t="str">
        <f>CONCATENATE("64211104142")</f>
        <v>64211104142</v>
      </c>
      <c r="I1794" s="3" t="s">
        <v>25</v>
      </c>
      <c r="J1794" s="3" t="s">
        <v>26</v>
      </c>
      <c r="K1794" s="3" t="str">
        <f t="shared" si="59"/>
        <v/>
      </c>
      <c r="L1794" s="3" t="str">
        <f>CONCATENATE("13 13.1 4a")</f>
        <v>13 13.1 4a</v>
      </c>
      <c r="M1794" s="3" t="str">
        <f>CONCATENATE("VTTPTR35H17C935T")</f>
        <v>VTTPTR35H17C935T</v>
      </c>
      <c r="N1794" s="3" t="s">
        <v>1810</v>
      </c>
      <c r="O1794" s="3"/>
      <c r="P1794" s="4">
        <v>42783</v>
      </c>
      <c r="Q1794" s="3" t="s">
        <v>27</v>
      </c>
      <c r="R1794" s="3" t="s">
        <v>28</v>
      </c>
      <c r="S1794" s="3" t="s">
        <v>29</v>
      </c>
      <c r="T1794" s="5">
        <v>4590</v>
      </c>
      <c r="U1794" s="5">
        <v>1979.21</v>
      </c>
      <c r="V1794" s="5">
        <v>1827.74</v>
      </c>
      <c r="W1794" s="3">
        <v>783.05</v>
      </c>
    </row>
    <row r="1795" spans="1:23" ht="36.75">
      <c r="A1795" s="3" t="s">
        <v>23</v>
      </c>
      <c r="B1795" s="3" t="s">
        <v>24</v>
      </c>
      <c r="C1795" s="3" t="s">
        <v>35</v>
      </c>
      <c r="D1795" s="3" t="s">
        <v>48</v>
      </c>
      <c r="E1795" s="3" t="s">
        <v>30</v>
      </c>
      <c r="F1795" s="3" t="s">
        <v>57</v>
      </c>
      <c r="G1795" s="3">
        <v>2016</v>
      </c>
      <c r="H1795" s="3" t="str">
        <f>CONCATENATE("64240332458")</f>
        <v>64240332458</v>
      </c>
      <c r="I1795" s="3" t="s">
        <v>25</v>
      </c>
      <c r="J1795" s="3" t="s">
        <v>26</v>
      </c>
      <c r="K1795" s="3" t="str">
        <f t="shared" si="59"/>
        <v/>
      </c>
      <c r="L1795" s="3" t="str">
        <f>CONCATENATE("11 11.1 4b")</f>
        <v>11 11.1 4b</v>
      </c>
      <c r="M1795" s="3" t="str">
        <f>CONCATENATE("01914620438")</f>
        <v>01914620438</v>
      </c>
      <c r="N1795" s="3" t="s">
        <v>1811</v>
      </c>
      <c r="O1795" s="3"/>
      <c r="P1795" s="4">
        <v>42783</v>
      </c>
      <c r="Q1795" s="3" t="s">
        <v>27</v>
      </c>
      <c r="R1795" s="3" t="s">
        <v>28</v>
      </c>
      <c r="S1795" s="3" t="s">
        <v>29</v>
      </c>
      <c r="T1795" s="5">
        <v>2276.17</v>
      </c>
      <c r="U1795" s="3">
        <v>981.48</v>
      </c>
      <c r="V1795" s="3">
        <v>906.37</v>
      </c>
      <c r="W1795" s="3">
        <v>388.32</v>
      </c>
    </row>
    <row r="1796" spans="1:23" ht="60.75">
      <c r="A1796" s="3" t="s">
        <v>23</v>
      </c>
      <c r="B1796" s="3" t="s">
        <v>24</v>
      </c>
      <c r="C1796" s="3" t="s">
        <v>35</v>
      </c>
      <c r="D1796" s="3" t="s">
        <v>36</v>
      </c>
      <c r="E1796" s="3" t="s">
        <v>30</v>
      </c>
      <c r="F1796" s="3" t="s">
        <v>37</v>
      </c>
      <c r="G1796" s="3">
        <v>2016</v>
      </c>
      <c r="H1796" s="3" t="str">
        <f>CONCATENATE("64210673147")</f>
        <v>64210673147</v>
      </c>
      <c r="I1796" s="3" t="s">
        <v>25</v>
      </c>
      <c r="J1796" s="3" t="s">
        <v>26</v>
      </c>
      <c r="K1796" s="3" t="str">
        <f t="shared" si="59"/>
        <v/>
      </c>
      <c r="L1796" s="3" t="str">
        <f>CONCATENATE("13 13.1 4a")</f>
        <v>13 13.1 4a</v>
      </c>
      <c r="M1796" s="3" t="str">
        <f>CONCATENATE("GLZGNN75M56D691T")</f>
        <v>GLZGNN75M56D691T</v>
      </c>
      <c r="N1796" s="3" t="s">
        <v>1812</v>
      </c>
      <c r="O1796" s="3"/>
      <c r="P1796" s="4">
        <v>42783</v>
      </c>
      <c r="Q1796" s="3" t="s">
        <v>27</v>
      </c>
      <c r="R1796" s="3" t="s">
        <v>28</v>
      </c>
      <c r="S1796" s="3" t="s">
        <v>29</v>
      </c>
      <c r="T1796" s="5">
        <v>1365.68</v>
      </c>
      <c r="U1796" s="3">
        <v>588.88</v>
      </c>
      <c r="V1796" s="3">
        <v>543.80999999999995</v>
      </c>
      <c r="W1796" s="3">
        <v>232.99</v>
      </c>
    </row>
    <row r="1797" spans="1:23" ht="60.75">
      <c r="A1797" s="3" t="s">
        <v>23</v>
      </c>
      <c r="B1797" s="3" t="s">
        <v>24</v>
      </c>
      <c r="C1797" s="3" t="s">
        <v>35</v>
      </c>
      <c r="D1797" s="3" t="s">
        <v>39</v>
      </c>
      <c r="E1797" s="3" t="s">
        <v>30</v>
      </c>
      <c r="F1797" s="3" t="s">
        <v>84</v>
      </c>
      <c r="G1797" s="3">
        <v>2016</v>
      </c>
      <c r="H1797" s="3" t="str">
        <f>CONCATENATE("64240716460")</f>
        <v>64240716460</v>
      </c>
      <c r="I1797" s="3" t="s">
        <v>25</v>
      </c>
      <c r="J1797" s="3" t="s">
        <v>26</v>
      </c>
      <c r="K1797" s="3" t="str">
        <f t="shared" si="59"/>
        <v/>
      </c>
      <c r="L1797" s="3" t="str">
        <f>CONCATENATE("11 11.2 4b")</f>
        <v>11 11.2 4b</v>
      </c>
      <c r="M1797" s="3" t="str">
        <f>CONCATENATE("SSSCST65H52D451J")</f>
        <v>SSSCST65H52D451J</v>
      </c>
      <c r="N1797" s="3" t="s">
        <v>1813</v>
      </c>
      <c r="O1797" s="3"/>
      <c r="P1797" s="4">
        <v>42783</v>
      </c>
      <c r="Q1797" s="3" t="s">
        <v>27</v>
      </c>
      <c r="R1797" s="3" t="s">
        <v>28</v>
      </c>
      <c r="S1797" s="3" t="s">
        <v>29</v>
      </c>
      <c r="T1797" s="5">
        <v>1536.23</v>
      </c>
      <c r="U1797" s="3">
        <v>662.42</v>
      </c>
      <c r="V1797" s="3">
        <v>611.73</v>
      </c>
      <c r="W1797" s="3">
        <v>262.08</v>
      </c>
    </row>
    <row r="1798" spans="1:23" ht="60.75">
      <c r="A1798" s="3" t="s">
        <v>23</v>
      </c>
      <c r="B1798" s="3" t="s">
        <v>24</v>
      </c>
      <c r="C1798" s="3" t="s">
        <v>35</v>
      </c>
      <c r="D1798" s="3" t="s">
        <v>36</v>
      </c>
      <c r="E1798" s="3" t="s">
        <v>30</v>
      </c>
      <c r="F1798" s="3" t="s">
        <v>53</v>
      </c>
      <c r="G1798" s="3">
        <v>2016</v>
      </c>
      <c r="H1798" s="3" t="str">
        <f>CONCATENATE("64240565867")</f>
        <v>64240565867</v>
      </c>
      <c r="I1798" s="3" t="s">
        <v>25</v>
      </c>
      <c r="J1798" s="3" t="s">
        <v>26</v>
      </c>
      <c r="K1798" s="3" t="str">
        <f t="shared" si="59"/>
        <v/>
      </c>
      <c r="L1798" s="3" t="str">
        <f>CONCATENATE("11 11.2 4b")</f>
        <v>11 11.2 4b</v>
      </c>
      <c r="M1798" s="3" t="str">
        <f>CONCATENATE("FBNGLL64E02H769J")</f>
        <v>FBNGLL64E02H769J</v>
      </c>
      <c r="N1798" s="3" t="s">
        <v>1814</v>
      </c>
      <c r="O1798" s="3"/>
      <c r="P1798" s="4">
        <v>42783</v>
      </c>
      <c r="Q1798" s="3" t="s">
        <v>27</v>
      </c>
      <c r="R1798" s="3" t="s">
        <v>28</v>
      </c>
      <c r="S1798" s="3" t="s">
        <v>29</v>
      </c>
      <c r="T1798" s="5">
        <v>2253.56</v>
      </c>
      <c r="U1798" s="3">
        <v>971.74</v>
      </c>
      <c r="V1798" s="3">
        <v>897.37</v>
      </c>
      <c r="W1798" s="3">
        <v>384.45</v>
      </c>
    </row>
    <row r="1799" spans="1:23" ht="36.75">
      <c r="A1799" s="3" t="s">
        <v>23</v>
      </c>
      <c r="B1799" s="3" t="s">
        <v>24</v>
      </c>
      <c r="C1799" s="3" t="s">
        <v>35</v>
      </c>
      <c r="D1799" s="3" t="s">
        <v>48</v>
      </c>
      <c r="E1799" s="3" t="s">
        <v>30</v>
      </c>
      <c r="F1799" s="3" t="s">
        <v>289</v>
      </c>
      <c r="G1799" s="3">
        <v>2016</v>
      </c>
      <c r="H1799" s="3" t="str">
        <f>CONCATENATE("64240465985")</f>
        <v>64240465985</v>
      </c>
      <c r="I1799" s="3" t="s">
        <v>25</v>
      </c>
      <c r="J1799" s="3" t="s">
        <v>26</v>
      </c>
      <c r="K1799" s="3" t="str">
        <f t="shared" si="59"/>
        <v/>
      </c>
      <c r="L1799" s="3" t="str">
        <f>CONCATENATE("11 11.2 4b")</f>
        <v>11 11.2 4b</v>
      </c>
      <c r="M1799" s="3" t="str">
        <f>CONCATENATE("00645970583")</f>
        <v>00645970583</v>
      </c>
      <c r="N1799" s="3" t="s">
        <v>1815</v>
      </c>
      <c r="O1799" s="3"/>
      <c r="P1799" s="4">
        <v>42783</v>
      </c>
      <c r="Q1799" s="3" t="s">
        <v>27</v>
      </c>
      <c r="R1799" s="3" t="s">
        <v>28</v>
      </c>
      <c r="S1799" s="3" t="s">
        <v>29</v>
      </c>
      <c r="T1799" s="5">
        <v>3249.5</v>
      </c>
      <c r="U1799" s="5">
        <v>1401.18</v>
      </c>
      <c r="V1799" s="5">
        <v>1293.95</v>
      </c>
      <c r="W1799" s="3">
        <v>554.37</v>
      </c>
    </row>
    <row r="1800" spans="1:23" ht="60.75">
      <c r="A1800" s="3" t="s">
        <v>23</v>
      </c>
      <c r="B1800" s="3" t="s">
        <v>24</v>
      </c>
      <c r="C1800" s="3" t="s">
        <v>35</v>
      </c>
      <c r="D1800" s="3" t="s">
        <v>43</v>
      </c>
      <c r="E1800" s="3" t="s">
        <v>32</v>
      </c>
      <c r="F1800" s="3" t="s">
        <v>119</v>
      </c>
      <c r="G1800" s="3">
        <v>2016</v>
      </c>
      <c r="H1800" s="3" t="str">
        <f>CONCATENATE("64240142303")</f>
        <v>64240142303</v>
      </c>
      <c r="I1800" s="3" t="s">
        <v>25</v>
      </c>
      <c r="J1800" s="3" t="s">
        <v>26</v>
      </c>
      <c r="K1800" s="3" t="str">
        <f t="shared" si="59"/>
        <v/>
      </c>
      <c r="L1800" s="3" t="str">
        <f>CONCATENATE("10 10.1 4a")</f>
        <v>10 10.1 4a</v>
      </c>
      <c r="M1800" s="3" t="str">
        <f>CONCATENATE("FDZRLD48A05D791T")</f>
        <v>FDZRLD48A05D791T</v>
      </c>
      <c r="N1800" s="3" t="s">
        <v>1816</v>
      </c>
      <c r="O1800" s="3"/>
      <c r="P1800" s="4">
        <v>42783</v>
      </c>
      <c r="Q1800" s="3" t="s">
        <v>27</v>
      </c>
      <c r="R1800" s="3" t="s">
        <v>28</v>
      </c>
      <c r="S1800" s="3" t="s">
        <v>29</v>
      </c>
      <c r="T1800" s="3">
        <v>108</v>
      </c>
      <c r="U1800" s="3">
        <v>46.57</v>
      </c>
      <c r="V1800" s="3">
        <v>43.01</v>
      </c>
      <c r="W1800" s="3">
        <v>18.420000000000002</v>
      </c>
    </row>
    <row r="1801" spans="1:23" ht="36.75">
      <c r="A1801" s="3" t="s">
        <v>23</v>
      </c>
      <c r="B1801" s="3" t="s">
        <v>24</v>
      </c>
      <c r="C1801" s="3" t="s">
        <v>35</v>
      </c>
      <c r="D1801" s="3" t="s">
        <v>43</v>
      </c>
      <c r="E1801" s="3" t="s">
        <v>30</v>
      </c>
      <c r="F1801" s="3" t="s">
        <v>131</v>
      </c>
      <c r="G1801" s="3">
        <v>2016</v>
      </c>
      <c r="H1801" s="3" t="str">
        <f>CONCATENATE("64240341210")</f>
        <v>64240341210</v>
      </c>
      <c r="I1801" s="3" t="s">
        <v>25</v>
      </c>
      <c r="J1801" s="3" t="s">
        <v>26</v>
      </c>
      <c r="K1801" s="3" t="str">
        <f t="shared" si="59"/>
        <v/>
      </c>
      <c r="L1801" s="3" t="str">
        <f>CONCATENATE("11 11.2 4b")</f>
        <v>11 11.2 4b</v>
      </c>
      <c r="M1801" s="3" t="str">
        <f>CONCATENATE("08434340967")</f>
        <v>08434340967</v>
      </c>
      <c r="N1801" s="3" t="s">
        <v>1817</v>
      </c>
      <c r="O1801" s="3"/>
      <c r="P1801" s="4">
        <v>42783</v>
      </c>
      <c r="Q1801" s="3" t="s">
        <v>27</v>
      </c>
      <c r="R1801" s="3" t="s">
        <v>28</v>
      </c>
      <c r="S1801" s="3" t="s">
        <v>29</v>
      </c>
      <c r="T1801" s="5">
        <v>1258.74</v>
      </c>
      <c r="U1801" s="3">
        <v>542.77</v>
      </c>
      <c r="V1801" s="3">
        <v>501.23</v>
      </c>
      <c r="W1801" s="3">
        <v>214.74</v>
      </c>
    </row>
    <row r="1802" spans="1:23" ht="60.75">
      <c r="A1802" s="3" t="s">
        <v>23</v>
      </c>
      <c r="B1802" s="3" t="s">
        <v>24</v>
      </c>
      <c r="C1802" s="3" t="s">
        <v>35</v>
      </c>
      <c r="D1802" s="3" t="s">
        <v>39</v>
      </c>
      <c r="E1802" s="3" t="s">
        <v>30</v>
      </c>
      <c r="F1802" s="3" t="s">
        <v>72</v>
      </c>
      <c r="G1802" s="3">
        <v>2016</v>
      </c>
      <c r="H1802" s="3" t="str">
        <f>CONCATENATE("64240367876")</f>
        <v>64240367876</v>
      </c>
      <c r="I1802" s="3" t="s">
        <v>25</v>
      </c>
      <c r="J1802" s="3" t="s">
        <v>26</v>
      </c>
      <c r="K1802" s="3" t="str">
        <f t="shared" si="59"/>
        <v/>
      </c>
      <c r="L1802" s="3" t="str">
        <f>CONCATENATE("11 11.2 4b")</f>
        <v>11 11.2 4b</v>
      </c>
      <c r="M1802" s="3" t="str">
        <f>CONCATENATE("QLAZMR49C04F634M")</f>
        <v>QLAZMR49C04F634M</v>
      </c>
      <c r="N1802" s="3" t="s">
        <v>1818</v>
      </c>
      <c r="O1802" s="3"/>
      <c r="P1802" s="4">
        <v>42783</v>
      </c>
      <c r="Q1802" s="3" t="s">
        <v>27</v>
      </c>
      <c r="R1802" s="3" t="s">
        <v>28</v>
      </c>
      <c r="S1802" s="3" t="s">
        <v>29</v>
      </c>
      <c r="T1802" s="3">
        <v>313.52</v>
      </c>
      <c r="U1802" s="3">
        <v>135.19</v>
      </c>
      <c r="V1802" s="3">
        <v>124.84</v>
      </c>
      <c r="W1802" s="3">
        <v>53.49</v>
      </c>
    </row>
    <row r="1803" spans="1:23" ht="36.75">
      <c r="A1803" s="3" t="s">
        <v>23</v>
      </c>
      <c r="B1803" s="3" t="s">
        <v>24</v>
      </c>
      <c r="C1803" s="3" t="s">
        <v>35</v>
      </c>
      <c r="D1803" s="3" t="s">
        <v>36</v>
      </c>
      <c r="E1803" s="3" t="s">
        <v>59</v>
      </c>
      <c r="F1803" s="3" t="s">
        <v>62</v>
      </c>
      <c r="G1803" s="3">
        <v>2016</v>
      </c>
      <c r="H1803" s="3" t="str">
        <f>CONCATENATE("64240215646")</f>
        <v>64240215646</v>
      </c>
      <c r="I1803" s="3" t="s">
        <v>25</v>
      </c>
      <c r="J1803" s="3" t="s">
        <v>26</v>
      </c>
      <c r="K1803" s="3" t="str">
        <f t="shared" si="59"/>
        <v/>
      </c>
      <c r="L1803" s="3" t="str">
        <f>CONCATENATE("11 11.2 4b")</f>
        <v>11 11.2 4b</v>
      </c>
      <c r="M1803" s="3" t="str">
        <f>CONCATENATE("02123030443")</f>
        <v>02123030443</v>
      </c>
      <c r="N1803" s="3" t="s">
        <v>1819</v>
      </c>
      <c r="O1803" s="3"/>
      <c r="P1803" s="4">
        <v>42783</v>
      </c>
      <c r="Q1803" s="3" t="s">
        <v>27</v>
      </c>
      <c r="R1803" s="3" t="s">
        <v>28</v>
      </c>
      <c r="S1803" s="3" t="s">
        <v>29</v>
      </c>
      <c r="T1803" s="5">
        <v>13485.57</v>
      </c>
      <c r="U1803" s="5">
        <v>5814.98</v>
      </c>
      <c r="V1803" s="5">
        <v>5369.95</v>
      </c>
      <c r="W1803" s="5">
        <v>2300.64</v>
      </c>
    </row>
    <row r="1804" spans="1:23" ht="60.75">
      <c r="A1804" s="3" t="s">
        <v>23</v>
      </c>
      <c r="B1804" s="3" t="s">
        <v>24</v>
      </c>
      <c r="C1804" s="3" t="s">
        <v>35</v>
      </c>
      <c r="D1804" s="3" t="s">
        <v>48</v>
      </c>
      <c r="E1804" s="3" t="s">
        <v>30</v>
      </c>
      <c r="F1804" s="3" t="s">
        <v>91</v>
      </c>
      <c r="G1804" s="3">
        <v>2016</v>
      </c>
      <c r="H1804" s="3" t="str">
        <f>CONCATENATE("64210519910")</f>
        <v>64210519910</v>
      </c>
      <c r="I1804" s="3" t="s">
        <v>25</v>
      </c>
      <c r="J1804" s="3" t="s">
        <v>26</v>
      </c>
      <c r="K1804" s="3" t="str">
        <f t="shared" si="59"/>
        <v/>
      </c>
      <c r="L1804" s="3" t="str">
        <f>CONCATENATE("13 13.1 4a")</f>
        <v>13 13.1 4a</v>
      </c>
      <c r="M1804" s="3" t="str">
        <f>CONCATENATE("FNCLBT61M54H501Z")</f>
        <v>FNCLBT61M54H501Z</v>
      </c>
      <c r="N1804" s="3" t="s">
        <v>1820</v>
      </c>
      <c r="O1804" s="3"/>
      <c r="P1804" s="4">
        <v>42783</v>
      </c>
      <c r="Q1804" s="3" t="s">
        <v>27</v>
      </c>
      <c r="R1804" s="3" t="s">
        <v>28</v>
      </c>
      <c r="S1804" s="3" t="s">
        <v>29</v>
      </c>
      <c r="T1804" s="3">
        <v>777.91</v>
      </c>
      <c r="U1804" s="3">
        <v>335.43</v>
      </c>
      <c r="V1804" s="3">
        <v>309.76</v>
      </c>
      <c r="W1804" s="3">
        <v>132.72</v>
      </c>
    </row>
    <row r="1805" spans="1:23" ht="36.75">
      <c r="A1805" s="3" t="s">
        <v>23</v>
      </c>
      <c r="B1805" s="3" t="s">
        <v>24</v>
      </c>
      <c r="C1805" s="3" t="s">
        <v>35</v>
      </c>
      <c r="D1805" s="3" t="s">
        <v>39</v>
      </c>
      <c r="E1805" s="3" t="s">
        <v>32</v>
      </c>
      <c r="F1805" s="3" t="s">
        <v>1821</v>
      </c>
      <c r="G1805" s="3">
        <v>2016</v>
      </c>
      <c r="H1805" s="3" t="str">
        <f>CONCATENATE("64240566196")</f>
        <v>64240566196</v>
      </c>
      <c r="I1805" s="3" t="s">
        <v>25</v>
      </c>
      <c r="J1805" s="3" t="s">
        <v>26</v>
      </c>
      <c r="K1805" s="3" t="str">
        <f t="shared" si="59"/>
        <v/>
      </c>
      <c r="L1805" s="3" t="str">
        <f>CONCATENATE("11 11.2 4b")</f>
        <v>11 11.2 4b</v>
      </c>
      <c r="M1805" s="3" t="str">
        <f>CONCATENATE("02109470985")</f>
        <v>02109470985</v>
      </c>
      <c r="N1805" s="3" t="s">
        <v>1822</v>
      </c>
      <c r="O1805" s="3"/>
      <c r="P1805" s="4">
        <v>42783</v>
      </c>
      <c r="Q1805" s="3" t="s">
        <v>27</v>
      </c>
      <c r="R1805" s="3" t="s">
        <v>28</v>
      </c>
      <c r="S1805" s="3" t="s">
        <v>29</v>
      </c>
      <c r="T1805" s="5">
        <v>4019.17</v>
      </c>
      <c r="U1805" s="5">
        <v>1733.07</v>
      </c>
      <c r="V1805" s="5">
        <v>1600.43</v>
      </c>
      <c r="W1805" s="3">
        <v>685.67</v>
      </c>
    </row>
    <row r="1806" spans="1:23" ht="60.75">
      <c r="A1806" s="3" t="s">
        <v>23</v>
      </c>
      <c r="B1806" s="3" t="s">
        <v>24</v>
      </c>
      <c r="C1806" s="3" t="s">
        <v>35</v>
      </c>
      <c r="D1806" s="3" t="s">
        <v>48</v>
      </c>
      <c r="E1806" s="3" t="s">
        <v>32</v>
      </c>
      <c r="F1806" s="3" t="s">
        <v>129</v>
      </c>
      <c r="G1806" s="3">
        <v>2016</v>
      </c>
      <c r="H1806" s="3" t="str">
        <f>CONCATENATE("64240369534")</f>
        <v>64240369534</v>
      </c>
      <c r="I1806" s="3" t="s">
        <v>25</v>
      </c>
      <c r="J1806" s="3" t="s">
        <v>26</v>
      </c>
      <c r="K1806" s="3" t="str">
        <f t="shared" si="59"/>
        <v/>
      </c>
      <c r="L1806" s="3" t="str">
        <f>CONCATENATE("11 11.1 4b")</f>
        <v>11 11.1 4b</v>
      </c>
      <c r="M1806" s="3" t="str">
        <f>CONCATENATE("SCRMHL88L15L191X")</f>
        <v>SCRMHL88L15L191X</v>
      </c>
      <c r="N1806" s="3" t="s">
        <v>1823</v>
      </c>
      <c r="O1806" s="3"/>
      <c r="P1806" s="4">
        <v>42783</v>
      </c>
      <c r="Q1806" s="3" t="s">
        <v>27</v>
      </c>
      <c r="R1806" s="3" t="s">
        <v>28</v>
      </c>
      <c r="S1806" s="3" t="s">
        <v>29</v>
      </c>
      <c r="T1806" s="5">
        <v>3349.4</v>
      </c>
      <c r="U1806" s="5">
        <v>1444.26</v>
      </c>
      <c r="V1806" s="5">
        <v>1333.73</v>
      </c>
      <c r="W1806" s="3">
        <v>571.41</v>
      </c>
    </row>
    <row r="1807" spans="1:23" ht="60.75">
      <c r="A1807" s="3" t="s">
        <v>23</v>
      </c>
      <c r="B1807" s="3" t="s">
        <v>24</v>
      </c>
      <c r="C1807" s="3" t="s">
        <v>35</v>
      </c>
      <c r="D1807" s="3" t="s">
        <v>43</v>
      </c>
      <c r="E1807" s="3" t="s">
        <v>32</v>
      </c>
      <c r="F1807" s="3" t="s">
        <v>78</v>
      </c>
      <c r="G1807" s="3">
        <v>2016</v>
      </c>
      <c r="H1807" s="3" t="str">
        <f>CONCATENATE("64240581575")</f>
        <v>64240581575</v>
      </c>
      <c r="I1807" s="3" t="s">
        <v>25</v>
      </c>
      <c r="J1807" s="3" t="s">
        <v>26</v>
      </c>
      <c r="K1807" s="3" t="str">
        <f t="shared" si="59"/>
        <v/>
      </c>
      <c r="L1807" s="3" t="str">
        <f>CONCATENATE("11 11.2 4b")</f>
        <v>11 11.2 4b</v>
      </c>
      <c r="M1807" s="3" t="str">
        <f>CONCATENATE("RBNNLD61E47G479I")</f>
        <v>RBNNLD61E47G479I</v>
      </c>
      <c r="N1807" s="3" t="s">
        <v>1824</v>
      </c>
      <c r="O1807" s="3"/>
      <c r="P1807" s="4">
        <v>42783</v>
      </c>
      <c r="Q1807" s="3" t="s">
        <v>27</v>
      </c>
      <c r="R1807" s="3" t="s">
        <v>28</v>
      </c>
      <c r="S1807" s="3" t="s">
        <v>29</v>
      </c>
      <c r="T1807" s="5">
        <v>1316.56</v>
      </c>
      <c r="U1807" s="3">
        <v>567.70000000000005</v>
      </c>
      <c r="V1807" s="3">
        <v>524.25</v>
      </c>
      <c r="W1807" s="3">
        <v>224.61</v>
      </c>
    </row>
    <row r="1808" spans="1:23" ht="60.75">
      <c r="A1808" s="3" t="s">
        <v>23</v>
      </c>
      <c r="B1808" s="3" t="s">
        <v>24</v>
      </c>
      <c r="C1808" s="3" t="s">
        <v>35</v>
      </c>
      <c r="D1808" s="3" t="s">
        <v>48</v>
      </c>
      <c r="E1808" s="3" t="s">
        <v>49</v>
      </c>
      <c r="F1808" s="3" t="s">
        <v>50</v>
      </c>
      <c r="G1808" s="3">
        <v>2016</v>
      </c>
      <c r="H1808" s="3" t="str">
        <f>CONCATENATE("64240467742")</f>
        <v>64240467742</v>
      </c>
      <c r="I1808" s="3" t="s">
        <v>25</v>
      </c>
      <c r="J1808" s="3" t="s">
        <v>26</v>
      </c>
      <c r="K1808" s="3" t="str">
        <f t="shared" si="59"/>
        <v/>
      </c>
      <c r="L1808" s="3" t="str">
        <f>CONCATENATE("11 11.2 4b")</f>
        <v>11 11.2 4b</v>
      </c>
      <c r="M1808" s="3" t="str">
        <f>CONCATENATE("SRGMTN67T21I653A")</f>
        <v>SRGMTN67T21I653A</v>
      </c>
      <c r="N1808" s="3" t="s">
        <v>1825</v>
      </c>
      <c r="O1808" s="3"/>
      <c r="P1808" s="4">
        <v>42783</v>
      </c>
      <c r="Q1808" s="3" t="s">
        <v>27</v>
      </c>
      <c r="R1808" s="3" t="s">
        <v>28</v>
      </c>
      <c r="S1808" s="3" t="s">
        <v>29</v>
      </c>
      <c r="T1808" s="5">
        <v>8988.7000000000007</v>
      </c>
      <c r="U1808" s="5">
        <v>3875.93</v>
      </c>
      <c r="V1808" s="5">
        <v>3579.3</v>
      </c>
      <c r="W1808" s="5">
        <v>1533.47</v>
      </c>
    </row>
    <row r="1809" spans="1:23" ht="36.75">
      <c r="A1809" s="3" t="s">
        <v>23</v>
      </c>
      <c r="B1809" s="3" t="s">
        <v>24</v>
      </c>
      <c r="C1809" s="3" t="s">
        <v>35</v>
      </c>
      <c r="D1809" s="3" t="s">
        <v>36</v>
      </c>
      <c r="E1809" s="3" t="s">
        <v>135</v>
      </c>
      <c r="F1809" s="3" t="s">
        <v>136</v>
      </c>
      <c r="G1809" s="3">
        <v>2016</v>
      </c>
      <c r="H1809" s="3" t="str">
        <f>CONCATENATE("64210749723")</f>
        <v>64210749723</v>
      </c>
      <c r="I1809" s="3" t="s">
        <v>25</v>
      </c>
      <c r="J1809" s="3" t="s">
        <v>26</v>
      </c>
      <c r="K1809" s="3" t="str">
        <f t="shared" si="59"/>
        <v/>
      </c>
      <c r="L1809" s="3" t="str">
        <f>CONCATENATE("13 13.1 4a")</f>
        <v>13 13.1 4a</v>
      </c>
      <c r="M1809" s="3" t="str">
        <f>CONCATENATE("01824030439")</f>
        <v>01824030439</v>
      </c>
      <c r="N1809" s="3" t="s">
        <v>832</v>
      </c>
      <c r="O1809" s="3"/>
      <c r="P1809" s="4">
        <v>42783</v>
      </c>
      <c r="Q1809" s="3" t="s">
        <v>27</v>
      </c>
      <c r="R1809" s="3" t="s">
        <v>28</v>
      </c>
      <c r="S1809" s="3" t="s">
        <v>29</v>
      </c>
      <c r="T1809" s="5">
        <v>4590</v>
      </c>
      <c r="U1809" s="5">
        <v>1979.21</v>
      </c>
      <c r="V1809" s="5">
        <v>1827.74</v>
      </c>
      <c r="W1809" s="3">
        <v>783.05</v>
      </c>
    </row>
    <row r="1810" spans="1:23" ht="60.75">
      <c r="A1810" s="3" t="s">
        <v>23</v>
      </c>
      <c r="B1810" s="3" t="s">
        <v>24</v>
      </c>
      <c r="C1810" s="3" t="s">
        <v>35</v>
      </c>
      <c r="D1810" s="3" t="s">
        <v>36</v>
      </c>
      <c r="E1810" s="3" t="s">
        <v>30</v>
      </c>
      <c r="F1810" s="3" t="s">
        <v>323</v>
      </c>
      <c r="G1810" s="3">
        <v>2016</v>
      </c>
      <c r="H1810" s="3" t="str">
        <f>CONCATENATE("64240488847")</f>
        <v>64240488847</v>
      </c>
      <c r="I1810" s="3" t="s">
        <v>25</v>
      </c>
      <c r="J1810" s="3" t="s">
        <v>26</v>
      </c>
      <c r="K1810" s="3" t="str">
        <f t="shared" ref="K1810:K1873" si="60">CONCATENATE("")</f>
        <v/>
      </c>
      <c r="L1810" s="3" t="str">
        <f>CONCATENATE("11 11.2 4b")</f>
        <v>11 11.2 4b</v>
      </c>
      <c r="M1810" s="3" t="str">
        <f>CONCATENATE("FCCRNI65R45D096I")</f>
        <v>FCCRNI65R45D096I</v>
      </c>
      <c r="N1810" s="3" t="s">
        <v>1826</v>
      </c>
      <c r="O1810" s="3"/>
      <c r="P1810" s="4">
        <v>42783</v>
      </c>
      <c r="Q1810" s="3" t="s">
        <v>27</v>
      </c>
      <c r="R1810" s="3" t="s">
        <v>28</v>
      </c>
      <c r="S1810" s="3" t="s">
        <v>29</v>
      </c>
      <c r="T1810" s="5">
        <v>1013.28</v>
      </c>
      <c r="U1810" s="3">
        <v>436.93</v>
      </c>
      <c r="V1810" s="3">
        <v>403.49</v>
      </c>
      <c r="W1810" s="3">
        <v>172.86</v>
      </c>
    </row>
    <row r="1811" spans="1:23" ht="72.75">
      <c r="A1811" s="3" t="s">
        <v>23</v>
      </c>
      <c r="B1811" s="3" t="s">
        <v>24</v>
      </c>
      <c r="C1811" s="3" t="s">
        <v>35</v>
      </c>
      <c r="D1811" s="3" t="s">
        <v>36</v>
      </c>
      <c r="E1811" s="3" t="s">
        <v>34</v>
      </c>
      <c r="F1811" s="3" t="s">
        <v>273</v>
      </c>
      <c r="G1811" s="3">
        <v>2016</v>
      </c>
      <c r="H1811" s="3" t="str">
        <f>CONCATENATE("64240207890")</f>
        <v>64240207890</v>
      </c>
      <c r="I1811" s="3" t="s">
        <v>25</v>
      </c>
      <c r="J1811" s="3" t="s">
        <v>26</v>
      </c>
      <c r="K1811" s="3" t="str">
        <f t="shared" si="60"/>
        <v/>
      </c>
      <c r="L1811" s="3" t="str">
        <f>CONCATENATE("11 11.2 4b")</f>
        <v>11 11.2 4b</v>
      </c>
      <c r="M1811" s="3" t="str">
        <f>CONCATENATE("VLNPLG54H26H769M")</f>
        <v>VLNPLG54H26H769M</v>
      </c>
      <c r="N1811" s="3" t="s">
        <v>1827</v>
      </c>
      <c r="O1811" s="3"/>
      <c r="P1811" s="4">
        <v>42783</v>
      </c>
      <c r="Q1811" s="3" t="s">
        <v>27</v>
      </c>
      <c r="R1811" s="3" t="s">
        <v>28</v>
      </c>
      <c r="S1811" s="3" t="s">
        <v>29</v>
      </c>
      <c r="T1811" s="5">
        <v>1218.72</v>
      </c>
      <c r="U1811" s="3">
        <v>525.51</v>
      </c>
      <c r="V1811" s="3">
        <v>485.29</v>
      </c>
      <c r="W1811" s="3">
        <v>207.92</v>
      </c>
    </row>
    <row r="1812" spans="1:23" ht="36.75">
      <c r="A1812" s="3" t="s">
        <v>23</v>
      </c>
      <c r="B1812" s="3" t="s">
        <v>24</v>
      </c>
      <c r="C1812" s="3" t="s">
        <v>35</v>
      </c>
      <c r="D1812" s="3" t="s">
        <v>43</v>
      </c>
      <c r="E1812" s="3" t="s">
        <v>30</v>
      </c>
      <c r="F1812" s="3" t="s">
        <v>76</v>
      </c>
      <c r="G1812" s="3">
        <v>2016</v>
      </c>
      <c r="H1812" s="3" t="str">
        <f>CONCATENATE("64240057915")</f>
        <v>64240057915</v>
      </c>
      <c r="I1812" s="3" t="s">
        <v>25</v>
      </c>
      <c r="J1812" s="3" t="s">
        <v>26</v>
      </c>
      <c r="K1812" s="3" t="str">
        <f t="shared" si="60"/>
        <v/>
      </c>
      <c r="L1812" s="3" t="str">
        <f>CONCATENATE("11 11.2 4b")</f>
        <v>11 11.2 4b</v>
      </c>
      <c r="M1812" s="3" t="str">
        <f>CONCATENATE("00349040394")</f>
        <v>00349040394</v>
      </c>
      <c r="N1812" s="3" t="s">
        <v>174</v>
      </c>
      <c r="O1812" s="3"/>
      <c r="P1812" s="4">
        <v>42783</v>
      </c>
      <c r="Q1812" s="3" t="s">
        <v>27</v>
      </c>
      <c r="R1812" s="3" t="s">
        <v>28</v>
      </c>
      <c r="S1812" s="3" t="s">
        <v>29</v>
      </c>
      <c r="T1812" s="5">
        <v>4071.51</v>
      </c>
      <c r="U1812" s="5">
        <v>1755.64</v>
      </c>
      <c r="V1812" s="5">
        <v>1621.28</v>
      </c>
      <c r="W1812" s="3">
        <v>694.59</v>
      </c>
    </row>
    <row r="1813" spans="1:23" ht="36.75">
      <c r="A1813" s="3" t="s">
        <v>23</v>
      </c>
      <c r="B1813" s="3" t="s">
        <v>24</v>
      </c>
      <c r="C1813" s="3" t="s">
        <v>35</v>
      </c>
      <c r="D1813" s="3" t="s">
        <v>43</v>
      </c>
      <c r="E1813" s="3" t="s">
        <v>34</v>
      </c>
      <c r="F1813" s="3" t="s">
        <v>146</v>
      </c>
      <c r="G1813" s="3">
        <v>2016</v>
      </c>
      <c r="H1813" s="3" t="str">
        <f>CONCATENATE("64240381562")</f>
        <v>64240381562</v>
      </c>
      <c r="I1813" s="3" t="s">
        <v>25</v>
      </c>
      <c r="J1813" s="3" t="s">
        <v>26</v>
      </c>
      <c r="K1813" s="3" t="str">
        <f t="shared" si="60"/>
        <v/>
      </c>
      <c r="L1813" s="3" t="str">
        <f>CONCATENATE("11 11.1 4b")</f>
        <v>11 11.1 4b</v>
      </c>
      <c r="M1813" s="3" t="str">
        <f>CONCATENATE("82002150413")</f>
        <v>82002150413</v>
      </c>
      <c r="N1813" s="3" t="s">
        <v>147</v>
      </c>
      <c r="O1813" s="3"/>
      <c r="P1813" s="4">
        <v>42783</v>
      </c>
      <c r="Q1813" s="3" t="s">
        <v>27</v>
      </c>
      <c r="R1813" s="3" t="s">
        <v>28</v>
      </c>
      <c r="S1813" s="3" t="s">
        <v>29</v>
      </c>
      <c r="T1813" s="5">
        <v>24975.39</v>
      </c>
      <c r="U1813" s="5">
        <v>10769.39</v>
      </c>
      <c r="V1813" s="5">
        <v>9945.2000000000007</v>
      </c>
      <c r="W1813" s="5">
        <v>4260.8</v>
      </c>
    </row>
    <row r="1814" spans="1:23" ht="36.75">
      <c r="A1814" s="3" t="s">
        <v>23</v>
      </c>
      <c r="B1814" s="3" t="s">
        <v>24</v>
      </c>
      <c r="C1814" s="3" t="s">
        <v>35</v>
      </c>
      <c r="D1814" s="3" t="s">
        <v>43</v>
      </c>
      <c r="E1814" s="3" t="s">
        <v>30</v>
      </c>
      <c r="F1814" s="3" t="s">
        <v>199</v>
      </c>
      <c r="G1814" s="3">
        <v>2016</v>
      </c>
      <c r="H1814" s="3" t="str">
        <f>CONCATENATE("64240741385")</f>
        <v>64240741385</v>
      </c>
      <c r="I1814" s="3" t="s">
        <v>25</v>
      </c>
      <c r="J1814" s="3" t="s">
        <v>26</v>
      </c>
      <c r="K1814" s="3" t="str">
        <f t="shared" si="60"/>
        <v/>
      </c>
      <c r="L1814" s="3" t="str">
        <f>CONCATENATE("10 10.1 4b")</f>
        <v>10 10.1 4b</v>
      </c>
      <c r="M1814" s="3" t="str">
        <f>CONCATENATE("02607080419")</f>
        <v>02607080419</v>
      </c>
      <c r="N1814" s="3" t="s">
        <v>1828</v>
      </c>
      <c r="O1814" s="3"/>
      <c r="P1814" s="4">
        <v>42783</v>
      </c>
      <c r="Q1814" s="3" t="s">
        <v>27</v>
      </c>
      <c r="R1814" s="3" t="s">
        <v>28</v>
      </c>
      <c r="S1814" s="3" t="s">
        <v>29</v>
      </c>
      <c r="T1814" s="5">
        <v>1206.94</v>
      </c>
      <c r="U1814" s="3">
        <v>520.42999999999995</v>
      </c>
      <c r="V1814" s="3">
        <v>480.6</v>
      </c>
      <c r="W1814" s="3">
        <v>205.91</v>
      </c>
    </row>
    <row r="1815" spans="1:23" ht="60.75">
      <c r="A1815" s="3" t="s">
        <v>23</v>
      </c>
      <c r="B1815" s="3" t="s">
        <v>24</v>
      </c>
      <c r="C1815" s="3" t="s">
        <v>35</v>
      </c>
      <c r="D1815" s="3" t="s">
        <v>39</v>
      </c>
      <c r="E1815" s="3" t="s">
        <v>30</v>
      </c>
      <c r="F1815" s="3" t="s">
        <v>84</v>
      </c>
      <c r="G1815" s="3">
        <v>2016</v>
      </c>
      <c r="H1815" s="3" t="str">
        <f>CONCATENATE("64240733523")</f>
        <v>64240733523</v>
      </c>
      <c r="I1815" s="3" t="s">
        <v>25</v>
      </c>
      <c r="J1815" s="3" t="s">
        <v>26</v>
      </c>
      <c r="K1815" s="3" t="str">
        <f t="shared" si="60"/>
        <v/>
      </c>
      <c r="L1815" s="3" t="str">
        <f>CONCATENATE("11 11.1 4b")</f>
        <v>11 11.1 4b</v>
      </c>
      <c r="M1815" s="3" t="str">
        <f>CONCATENATE("SRNLVZ46S29I653Y")</f>
        <v>SRNLVZ46S29I653Y</v>
      </c>
      <c r="N1815" s="3" t="s">
        <v>1829</v>
      </c>
      <c r="O1815" s="3"/>
      <c r="P1815" s="4">
        <v>42783</v>
      </c>
      <c r="Q1815" s="3" t="s">
        <v>27</v>
      </c>
      <c r="R1815" s="3" t="s">
        <v>28</v>
      </c>
      <c r="S1815" s="3" t="s">
        <v>29</v>
      </c>
      <c r="T1815" s="5">
        <v>5450.31</v>
      </c>
      <c r="U1815" s="5">
        <v>2350.17</v>
      </c>
      <c r="V1815" s="5">
        <v>2170.31</v>
      </c>
      <c r="W1815" s="3">
        <v>929.83</v>
      </c>
    </row>
    <row r="1816" spans="1:23" ht="60.75">
      <c r="A1816" s="3" t="s">
        <v>23</v>
      </c>
      <c r="B1816" s="3" t="s">
        <v>24</v>
      </c>
      <c r="C1816" s="3" t="s">
        <v>35</v>
      </c>
      <c r="D1816" s="3" t="s">
        <v>43</v>
      </c>
      <c r="E1816" s="3" t="s">
        <v>34</v>
      </c>
      <c r="F1816" s="3" t="s">
        <v>146</v>
      </c>
      <c r="G1816" s="3">
        <v>2016</v>
      </c>
      <c r="H1816" s="3" t="str">
        <f>CONCATENATE("64240378063")</f>
        <v>64240378063</v>
      </c>
      <c r="I1816" s="3" t="s">
        <v>25</v>
      </c>
      <c r="J1816" s="3" t="s">
        <v>26</v>
      </c>
      <c r="K1816" s="3" t="str">
        <f t="shared" si="60"/>
        <v/>
      </c>
      <c r="L1816" s="3" t="str">
        <f>CONCATENATE("11 11.2 4b")</f>
        <v>11 11.2 4b</v>
      </c>
      <c r="M1816" s="3" t="str">
        <f>CONCATENATE("MRCTZN62B62L081N")</f>
        <v>MRCTZN62B62L081N</v>
      </c>
      <c r="N1816" s="3" t="s">
        <v>1830</v>
      </c>
      <c r="O1816" s="3"/>
      <c r="P1816" s="4">
        <v>42783</v>
      </c>
      <c r="Q1816" s="3" t="s">
        <v>27</v>
      </c>
      <c r="R1816" s="3" t="s">
        <v>28</v>
      </c>
      <c r="S1816" s="3" t="s">
        <v>29</v>
      </c>
      <c r="T1816" s="5">
        <v>6643.61</v>
      </c>
      <c r="U1816" s="5">
        <v>2864.72</v>
      </c>
      <c r="V1816" s="5">
        <v>2645.49</v>
      </c>
      <c r="W1816" s="5">
        <v>1133.4000000000001</v>
      </c>
    </row>
    <row r="1817" spans="1:23" ht="60.75">
      <c r="A1817" s="3" t="s">
        <v>23</v>
      </c>
      <c r="B1817" s="3" t="s">
        <v>24</v>
      </c>
      <c r="C1817" s="3" t="s">
        <v>35</v>
      </c>
      <c r="D1817" s="3" t="s">
        <v>36</v>
      </c>
      <c r="E1817" s="3" t="s">
        <v>30</v>
      </c>
      <c r="F1817" s="3" t="s">
        <v>323</v>
      </c>
      <c r="G1817" s="3">
        <v>2016</v>
      </c>
      <c r="H1817" s="3" t="str">
        <f>CONCATENATE("64240609814")</f>
        <v>64240609814</v>
      </c>
      <c r="I1817" s="3" t="s">
        <v>25</v>
      </c>
      <c r="J1817" s="3" t="s">
        <v>26</v>
      </c>
      <c r="K1817" s="3" t="str">
        <f t="shared" si="60"/>
        <v/>
      </c>
      <c r="L1817" s="3" t="str">
        <f>CONCATENATE("11 11.2 4b")</f>
        <v>11 11.2 4b</v>
      </c>
      <c r="M1817" s="3" t="str">
        <f>CONCATENATE("LNDMLE47E22G005S")</f>
        <v>LNDMLE47E22G005S</v>
      </c>
      <c r="N1817" s="3" t="s">
        <v>1831</v>
      </c>
      <c r="O1817" s="3"/>
      <c r="P1817" s="4">
        <v>42783</v>
      </c>
      <c r="Q1817" s="3" t="s">
        <v>27</v>
      </c>
      <c r="R1817" s="3" t="s">
        <v>28</v>
      </c>
      <c r="S1817" s="3" t="s">
        <v>29</v>
      </c>
      <c r="T1817" s="5">
        <v>8039.06</v>
      </c>
      <c r="U1817" s="5">
        <v>3466.44</v>
      </c>
      <c r="V1817" s="5">
        <v>3201.15</v>
      </c>
      <c r="W1817" s="5">
        <v>1371.47</v>
      </c>
    </row>
    <row r="1818" spans="1:23" ht="60.75">
      <c r="A1818" s="3" t="s">
        <v>23</v>
      </c>
      <c r="B1818" s="3" t="s">
        <v>24</v>
      </c>
      <c r="C1818" s="3" t="s">
        <v>35</v>
      </c>
      <c r="D1818" s="3" t="s">
        <v>43</v>
      </c>
      <c r="E1818" s="3" t="s">
        <v>30</v>
      </c>
      <c r="F1818" s="3" t="s">
        <v>76</v>
      </c>
      <c r="G1818" s="3">
        <v>2016</v>
      </c>
      <c r="H1818" s="3" t="str">
        <f>CONCATENATE("64210091290")</f>
        <v>64210091290</v>
      </c>
      <c r="I1818" s="3" t="s">
        <v>25</v>
      </c>
      <c r="J1818" s="3" t="s">
        <v>26</v>
      </c>
      <c r="K1818" s="3" t="str">
        <f t="shared" si="60"/>
        <v/>
      </c>
      <c r="L1818" s="3" t="str">
        <f>CONCATENATE("13 13.1 4a")</f>
        <v>13 13.1 4a</v>
      </c>
      <c r="M1818" s="3" t="str">
        <f>CONCATENATE("MTTSMN70S19I459M")</f>
        <v>MTTSMN70S19I459M</v>
      </c>
      <c r="N1818" s="3" t="s">
        <v>1696</v>
      </c>
      <c r="O1818" s="3"/>
      <c r="P1818" s="4">
        <v>42783</v>
      </c>
      <c r="Q1818" s="3" t="s">
        <v>27</v>
      </c>
      <c r="R1818" s="3" t="s">
        <v>28</v>
      </c>
      <c r="S1818" s="3" t="s">
        <v>29</v>
      </c>
      <c r="T1818" s="5">
        <v>2307.5</v>
      </c>
      <c r="U1818" s="3">
        <v>994.99</v>
      </c>
      <c r="V1818" s="3">
        <v>918.85</v>
      </c>
      <c r="W1818" s="3">
        <v>393.66</v>
      </c>
    </row>
    <row r="1819" spans="1:23" ht="36.75">
      <c r="A1819" s="3" t="s">
        <v>23</v>
      </c>
      <c r="B1819" s="3" t="s">
        <v>24</v>
      </c>
      <c r="C1819" s="3" t="s">
        <v>35</v>
      </c>
      <c r="D1819" s="3" t="s">
        <v>36</v>
      </c>
      <c r="E1819" s="3" t="s">
        <v>30</v>
      </c>
      <c r="F1819" s="3" t="s">
        <v>53</v>
      </c>
      <c r="G1819" s="3">
        <v>2016</v>
      </c>
      <c r="H1819" s="3" t="str">
        <f>CONCATENATE("64240668695")</f>
        <v>64240668695</v>
      </c>
      <c r="I1819" s="3" t="s">
        <v>25</v>
      </c>
      <c r="J1819" s="3" t="s">
        <v>26</v>
      </c>
      <c r="K1819" s="3" t="str">
        <f t="shared" si="60"/>
        <v/>
      </c>
      <c r="L1819" s="3" t="str">
        <f>CONCATENATE("11 11.2 4b")</f>
        <v>11 11.2 4b</v>
      </c>
      <c r="M1819" s="3" t="str">
        <f>CONCATENATE("01979770441")</f>
        <v>01979770441</v>
      </c>
      <c r="N1819" s="3" t="s">
        <v>1832</v>
      </c>
      <c r="O1819" s="3"/>
      <c r="P1819" s="4">
        <v>42783</v>
      </c>
      <c r="Q1819" s="3" t="s">
        <v>27</v>
      </c>
      <c r="R1819" s="3" t="s">
        <v>28</v>
      </c>
      <c r="S1819" s="3" t="s">
        <v>29</v>
      </c>
      <c r="T1819" s="5">
        <v>8250.91</v>
      </c>
      <c r="U1819" s="5">
        <v>3557.79</v>
      </c>
      <c r="V1819" s="5">
        <v>3285.51</v>
      </c>
      <c r="W1819" s="5">
        <v>1407.61</v>
      </c>
    </row>
    <row r="1820" spans="1:23" ht="72.75">
      <c r="A1820" s="3" t="s">
        <v>23</v>
      </c>
      <c r="B1820" s="3" t="s">
        <v>24</v>
      </c>
      <c r="C1820" s="3" t="s">
        <v>35</v>
      </c>
      <c r="D1820" s="3" t="s">
        <v>48</v>
      </c>
      <c r="E1820" s="3" t="s">
        <v>33</v>
      </c>
      <c r="F1820" s="3" t="s">
        <v>358</v>
      </c>
      <c r="G1820" s="3">
        <v>2016</v>
      </c>
      <c r="H1820" s="3" t="str">
        <f>CONCATENATE("64240543252")</f>
        <v>64240543252</v>
      </c>
      <c r="I1820" s="3" t="s">
        <v>25</v>
      </c>
      <c r="J1820" s="3" t="s">
        <v>26</v>
      </c>
      <c r="K1820" s="3" t="str">
        <f t="shared" si="60"/>
        <v/>
      </c>
      <c r="L1820" s="3" t="str">
        <f>CONCATENATE("11 11.2 4b")</f>
        <v>11 11.2 4b</v>
      </c>
      <c r="M1820" s="3" t="str">
        <f>CONCATENATE("RMGMRP54S66F567F")</f>
        <v>RMGMRP54S66F567F</v>
      </c>
      <c r="N1820" s="3" t="s">
        <v>1833</v>
      </c>
      <c r="O1820" s="3"/>
      <c r="P1820" s="4">
        <v>42783</v>
      </c>
      <c r="Q1820" s="3" t="s">
        <v>27</v>
      </c>
      <c r="R1820" s="3" t="s">
        <v>28</v>
      </c>
      <c r="S1820" s="3" t="s">
        <v>29</v>
      </c>
      <c r="T1820" s="5">
        <v>2219.21</v>
      </c>
      <c r="U1820" s="3">
        <v>956.92</v>
      </c>
      <c r="V1820" s="3">
        <v>883.69</v>
      </c>
      <c r="W1820" s="3">
        <v>378.6</v>
      </c>
    </row>
    <row r="1821" spans="1:23" ht="72.75">
      <c r="A1821" s="3" t="s">
        <v>23</v>
      </c>
      <c r="B1821" s="3" t="s">
        <v>24</v>
      </c>
      <c r="C1821" s="3" t="s">
        <v>35</v>
      </c>
      <c r="D1821" s="3" t="s">
        <v>39</v>
      </c>
      <c r="E1821" s="3" t="s">
        <v>30</v>
      </c>
      <c r="F1821" s="3" t="s">
        <v>97</v>
      </c>
      <c r="G1821" s="3">
        <v>2016</v>
      </c>
      <c r="H1821" s="3" t="str">
        <f>CONCATENATE("64240331260")</f>
        <v>64240331260</v>
      </c>
      <c r="I1821" s="3" t="s">
        <v>25</v>
      </c>
      <c r="J1821" s="3" t="s">
        <v>26</v>
      </c>
      <c r="K1821" s="3" t="str">
        <f t="shared" si="60"/>
        <v/>
      </c>
      <c r="L1821" s="3" t="str">
        <f>CONCATENATE("11 11.1 4b")</f>
        <v>11 11.1 4b</v>
      </c>
      <c r="M1821" s="3" t="str">
        <f>CONCATENATE("MRTMSM64P15G157T")</f>
        <v>MRTMSM64P15G157T</v>
      </c>
      <c r="N1821" s="3" t="s">
        <v>1834</v>
      </c>
      <c r="O1821" s="3"/>
      <c r="P1821" s="4">
        <v>42783</v>
      </c>
      <c r="Q1821" s="3" t="s">
        <v>27</v>
      </c>
      <c r="R1821" s="3" t="s">
        <v>28</v>
      </c>
      <c r="S1821" s="3" t="s">
        <v>29</v>
      </c>
      <c r="T1821" s="5">
        <v>3522.8</v>
      </c>
      <c r="U1821" s="5">
        <v>1519.03</v>
      </c>
      <c r="V1821" s="5">
        <v>1402.78</v>
      </c>
      <c r="W1821" s="3">
        <v>600.99</v>
      </c>
    </row>
    <row r="1822" spans="1:23" ht="36.75">
      <c r="A1822" s="3" t="s">
        <v>23</v>
      </c>
      <c r="B1822" s="3" t="s">
        <v>24</v>
      </c>
      <c r="C1822" s="3" t="s">
        <v>35</v>
      </c>
      <c r="D1822" s="3" t="s">
        <v>43</v>
      </c>
      <c r="E1822" s="3" t="s">
        <v>49</v>
      </c>
      <c r="F1822" s="3" t="s">
        <v>276</v>
      </c>
      <c r="G1822" s="3">
        <v>2016</v>
      </c>
      <c r="H1822" s="3" t="str">
        <f>CONCATENATE("64240457305")</f>
        <v>64240457305</v>
      </c>
      <c r="I1822" s="3" t="s">
        <v>25</v>
      </c>
      <c r="J1822" s="3" t="s">
        <v>26</v>
      </c>
      <c r="K1822" s="3" t="str">
        <f t="shared" si="60"/>
        <v/>
      </c>
      <c r="L1822" s="3" t="str">
        <f>CONCATENATE("11 11.2 4b")</f>
        <v>11 11.2 4b</v>
      </c>
      <c r="M1822" s="3" t="str">
        <f>CONCATENATE("02288450410")</f>
        <v>02288450410</v>
      </c>
      <c r="N1822" s="3" t="s">
        <v>1835</v>
      </c>
      <c r="O1822" s="3"/>
      <c r="P1822" s="4">
        <v>42783</v>
      </c>
      <c r="Q1822" s="3" t="s">
        <v>27</v>
      </c>
      <c r="R1822" s="3" t="s">
        <v>28</v>
      </c>
      <c r="S1822" s="3" t="s">
        <v>29</v>
      </c>
      <c r="T1822" s="5">
        <v>6001.97</v>
      </c>
      <c r="U1822" s="5">
        <v>2588.0500000000002</v>
      </c>
      <c r="V1822" s="5">
        <v>2389.98</v>
      </c>
      <c r="W1822" s="5">
        <v>1023.94</v>
      </c>
    </row>
    <row r="1823" spans="1:23" ht="60.75">
      <c r="A1823" s="3" t="s">
        <v>23</v>
      </c>
      <c r="B1823" s="3" t="s">
        <v>24</v>
      </c>
      <c r="C1823" s="3" t="s">
        <v>35</v>
      </c>
      <c r="D1823" s="3" t="s">
        <v>43</v>
      </c>
      <c r="E1823" s="3" t="s">
        <v>32</v>
      </c>
      <c r="F1823" s="3" t="s">
        <v>119</v>
      </c>
      <c r="G1823" s="3">
        <v>2016</v>
      </c>
      <c r="H1823" s="3" t="str">
        <f>CONCATENATE("64240678066")</f>
        <v>64240678066</v>
      </c>
      <c r="I1823" s="3" t="s">
        <v>25</v>
      </c>
      <c r="J1823" s="3" t="s">
        <v>26</v>
      </c>
      <c r="K1823" s="3" t="str">
        <f t="shared" si="60"/>
        <v/>
      </c>
      <c r="L1823" s="3" t="str">
        <f>CONCATENATE("10 10.1 4a")</f>
        <v>10 10.1 4a</v>
      </c>
      <c r="M1823" s="3" t="str">
        <f>CONCATENATE("TRNDNL94R03I608L")</f>
        <v>TRNDNL94R03I608L</v>
      </c>
      <c r="N1823" s="3" t="s">
        <v>1836</v>
      </c>
      <c r="O1823" s="3"/>
      <c r="P1823" s="4">
        <v>42783</v>
      </c>
      <c r="Q1823" s="3" t="s">
        <v>27</v>
      </c>
      <c r="R1823" s="3" t="s">
        <v>28</v>
      </c>
      <c r="S1823" s="3" t="s">
        <v>29</v>
      </c>
      <c r="T1823" s="3">
        <v>391.53</v>
      </c>
      <c r="U1823" s="3">
        <v>168.83</v>
      </c>
      <c r="V1823" s="3">
        <v>155.91</v>
      </c>
      <c r="W1823" s="3">
        <v>66.790000000000006</v>
      </c>
    </row>
    <row r="1824" spans="1:23" ht="60.75">
      <c r="A1824" s="3" t="s">
        <v>23</v>
      </c>
      <c r="B1824" s="3" t="s">
        <v>24</v>
      </c>
      <c r="C1824" s="3" t="s">
        <v>35</v>
      </c>
      <c r="D1824" s="3" t="s">
        <v>36</v>
      </c>
      <c r="E1824" s="3" t="s">
        <v>30</v>
      </c>
      <c r="F1824" s="3" t="s">
        <v>257</v>
      </c>
      <c r="G1824" s="3">
        <v>2016</v>
      </c>
      <c r="H1824" s="3" t="str">
        <f>CONCATENATE("64240674990")</f>
        <v>64240674990</v>
      </c>
      <c r="I1824" s="3" t="s">
        <v>25</v>
      </c>
      <c r="J1824" s="3" t="s">
        <v>26</v>
      </c>
      <c r="K1824" s="3" t="str">
        <f t="shared" si="60"/>
        <v/>
      </c>
      <c r="L1824" s="3" t="str">
        <f>CONCATENATE("11 11.1 4b")</f>
        <v>11 11.1 4b</v>
      </c>
      <c r="M1824" s="3" t="str">
        <f>CONCATENATE("RSCBRN50B10F697K")</f>
        <v>RSCBRN50B10F697K</v>
      </c>
      <c r="N1824" s="3" t="s">
        <v>1837</v>
      </c>
      <c r="O1824" s="3"/>
      <c r="P1824" s="4">
        <v>42783</v>
      </c>
      <c r="Q1824" s="3" t="s">
        <v>27</v>
      </c>
      <c r="R1824" s="3" t="s">
        <v>28</v>
      </c>
      <c r="S1824" s="3" t="s">
        <v>29</v>
      </c>
      <c r="T1824" s="5">
        <v>4052.33</v>
      </c>
      <c r="U1824" s="5">
        <v>1747.36</v>
      </c>
      <c r="V1824" s="5">
        <v>1613.64</v>
      </c>
      <c r="W1824" s="3">
        <v>691.33</v>
      </c>
    </row>
    <row r="1825" spans="1:23" ht="36.75">
      <c r="A1825" s="3" t="s">
        <v>23</v>
      </c>
      <c r="B1825" s="3" t="s">
        <v>24</v>
      </c>
      <c r="C1825" s="3" t="s">
        <v>35</v>
      </c>
      <c r="D1825" s="3" t="s">
        <v>43</v>
      </c>
      <c r="E1825" s="3" t="s">
        <v>32</v>
      </c>
      <c r="F1825" s="3" t="s">
        <v>78</v>
      </c>
      <c r="G1825" s="3">
        <v>2016</v>
      </c>
      <c r="H1825" s="3" t="str">
        <f>CONCATENATE("64240323903")</f>
        <v>64240323903</v>
      </c>
      <c r="I1825" s="3" t="s">
        <v>25</v>
      </c>
      <c r="J1825" s="3" t="s">
        <v>26</v>
      </c>
      <c r="K1825" s="3" t="str">
        <f t="shared" si="60"/>
        <v/>
      </c>
      <c r="L1825" s="3" t="str">
        <f>CONCATENATE("11 11.2 4b")</f>
        <v>11 11.2 4b</v>
      </c>
      <c r="M1825" s="3" t="str">
        <f>CONCATENATE("02008350411")</f>
        <v>02008350411</v>
      </c>
      <c r="N1825" s="3" t="s">
        <v>1838</v>
      </c>
      <c r="O1825" s="3"/>
      <c r="P1825" s="4">
        <v>42783</v>
      </c>
      <c r="Q1825" s="3" t="s">
        <v>27</v>
      </c>
      <c r="R1825" s="3" t="s">
        <v>28</v>
      </c>
      <c r="S1825" s="3" t="s">
        <v>29</v>
      </c>
      <c r="T1825" s="5">
        <v>2256.44</v>
      </c>
      <c r="U1825" s="3">
        <v>972.98</v>
      </c>
      <c r="V1825" s="3">
        <v>898.51</v>
      </c>
      <c r="W1825" s="3">
        <v>384.95</v>
      </c>
    </row>
    <row r="1826" spans="1:23" ht="60.75">
      <c r="A1826" s="3" t="s">
        <v>23</v>
      </c>
      <c r="B1826" s="3" t="s">
        <v>24</v>
      </c>
      <c r="C1826" s="3" t="s">
        <v>35</v>
      </c>
      <c r="D1826" s="3" t="s">
        <v>36</v>
      </c>
      <c r="E1826" s="3" t="s">
        <v>59</v>
      </c>
      <c r="F1826" s="3" t="s">
        <v>62</v>
      </c>
      <c r="G1826" s="3">
        <v>2016</v>
      </c>
      <c r="H1826" s="3" t="str">
        <f>CONCATENATE("64240434080")</f>
        <v>64240434080</v>
      </c>
      <c r="I1826" s="3" t="s">
        <v>25</v>
      </c>
      <c r="J1826" s="3" t="s">
        <v>26</v>
      </c>
      <c r="K1826" s="3" t="str">
        <f t="shared" si="60"/>
        <v/>
      </c>
      <c r="L1826" s="3" t="str">
        <f>CONCATENATE("11 11.1 4b")</f>
        <v>11 11.1 4b</v>
      </c>
      <c r="M1826" s="3" t="str">
        <f>CONCATENATE("CRTVNC88M51H769Y")</f>
        <v>CRTVNC88M51H769Y</v>
      </c>
      <c r="N1826" s="3" t="s">
        <v>1839</v>
      </c>
      <c r="O1826" s="3"/>
      <c r="P1826" s="4">
        <v>42783</v>
      </c>
      <c r="Q1826" s="3" t="s">
        <v>27</v>
      </c>
      <c r="R1826" s="3" t="s">
        <v>28</v>
      </c>
      <c r="S1826" s="3" t="s">
        <v>29</v>
      </c>
      <c r="T1826" s="5">
        <v>1052.6600000000001</v>
      </c>
      <c r="U1826" s="3">
        <v>453.91</v>
      </c>
      <c r="V1826" s="3">
        <v>419.17</v>
      </c>
      <c r="W1826" s="3">
        <v>179.58</v>
      </c>
    </row>
    <row r="1827" spans="1:23" ht="60.75">
      <c r="A1827" s="3" t="s">
        <v>23</v>
      </c>
      <c r="B1827" s="3" t="s">
        <v>24</v>
      </c>
      <c r="C1827" s="3" t="s">
        <v>35</v>
      </c>
      <c r="D1827" s="3" t="s">
        <v>43</v>
      </c>
      <c r="E1827" s="3" t="s">
        <v>30</v>
      </c>
      <c r="F1827" s="3" t="s">
        <v>104</v>
      </c>
      <c r="G1827" s="3">
        <v>2016</v>
      </c>
      <c r="H1827" s="3" t="str">
        <f>CONCATENATE("64240254348")</f>
        <v>64240254348</v>
      </c>
      <c r="I1827" s="3" t="s">
        <v>25</v>
      </c>
      <c r="J1827" s="3" t="s">
        <v>26</v>
      </c>
      <c r="K1827" s="3" t="str">
        <f t="shared" si="60"/>
        <v/>
      </c>
      <c r="L1827" s="3" t="str">
        <f>CONCATENATE("11 11.2 4b")</f>
        <v>11 11.2 4b</v>
      </c>
      <c r="M1827" s="3" t="str">
        <f>CONCATENATE("MTTLVN48P48L500X")</f>
        <v>MTTLVN48P48L500X</v>
      </c>
      <c r="N1827" s="3" t="s">
        <v>1840</v>
      </c>
      <c r="O1827" s="3"/>
      <c r="P1827" s="4">
        <v>42783</v>
      </c>
      <c r="Q1827" s="3" t="s">
        <v>27</v>
      </c>
      <c r="R1827" s="3" t="s">
        <v>28</v>
      </c>
      <c r="S1827" s="3" t="s">
        <v>29</v>
      </c>
      <c r="T1827" s="5">
        <v>2455.79</v>
      </c>
      <c r="U1827" s="5">
        <v>1058.94</v>
      </c>
      <c r="V1827" s="3">
        <v>977.9</v>
      </c>
      <c r="W1827" s="3">
        <v>418.95</v>
      </c>
    </row>
    <row r="1828" spans="1:23" ht="60.75">
      <c r="A1828" s="3" t="s">
        <v>23</v>
      </c>
      <c r="B1828" s="3" t="s">
        <v>24</v>
      </c>
      <c r="C1828" s="3" t="s">
        <v>35</v>
      </c>
      <c r="D1828" s="3" t="s">
        <v>48</v>
      </c>
      <c r="E1828" s="3" t="s">
        <v>30</v>
      </c>
      <c r="F1828" s="3" t="s">
        <v>91</v>
      </c>
      <c r="G1828" s="3">
        <v>2016</v>
      </c>
      <c r="H1828" s="3" t="str">
        <f>CONCATENATE("64240317574")</f>
        <v>64240317574</v>
      </c>
      <c r="I1828" s="3" t="s">
        <v>25</v>
      </c>
      <c r="J1828" s="3" t="s">
        <v>26</v>
      </c>
      <c r="K1828" s="3" t="str">
        <f t="shared" si="60"/>
        <v/>
      </c>
      <c r="L1828" s="3" t="str">
        <f>CONCATENATE("11 11.2 4b")</f>
        <v>11 11.2 4b</v>
      </c>
      <c r="M1828" s="3" t="str">
        <f>CONCATENATE("MNTNGL57C25F051F")</f>
        <v>MNTNGL57C25F051F</v>
      </c>
      <c r="N1828" s="3" t="s">
        <v>1841</v>
      </c>
      <c r="O1828" s="3"/>
      <c r="P1828" s="4">
        <v>42783</v>
      </c>
      <c r="Q1828" s="3" t="s">
        <v>27</v>
      </c>
      <c r="R1828" s="3" t="s">
        <v>28</v>
      </c>
      <c r="S1828" s="3" t="s">
        <v>29</v>
      </c>
      <c r="T1828" s="5">
        <v>3506.6</v>
      </c>
      <c r="U1828" s="5">
        <v>1512.05</v>
      </c>
      <c r="V1828" s="5">
        <v>1396.33</v>
      </c>
      <c r="W1828" s="3">
        <v>598.22</v>
      </c>
    </row>
    <row r="1829" spans="1:23" ht="60.75">
      <c r="A1829" s="3" t="s">
        <v>23</v>
      </c>
      <c r="B1829" s="3" t="s">
        <v>24</v>
      </c>
      <c r="C1829" s="3" t="s">
        <v>35</v>
      </c>
      <c r="D1829" s="3" t="s">
        <v>43</v>
      </c>
      <c r="E1829" s="3" t="s">
        <v>49</v>
      </c>
      <c r="F1829" s="3" t="s">
        <v>139</v>
      </c>
      <c r="G1829" s="3">
        <v>2016</v>
      </c>
      <c r="H1829" s="3" t="str">
        <f>CONCATENATE("64240902383")</f>
        <v>64240902383</v>
      </c>
      <c r="I1829" s="3" t="s">
        <v>25</v>
      </c>
      <c r="J1829" s="3" t="s">
        <v>26</v>
      </c>
      <c r="K1829" s="3" t="str">
        <f t="shared" si="60"/>
        <v/>
      </c>
      <c r="L1829" s="3" t="str">
        <f>CONCATENATE("11 11.2 4b")</f>
        <v>11 11.2 4b</v>
      </c>
      <c r="M1829" s="3" t="str">
        <f>CONCATENATE("SCCMHL61L22G514L")</f>
        <v>SCCMHL61L22G514L</v>
      </c>
      <c r="N1829" s="3" t="s">
        <v>1842</v>
      </c>
      <c r="O1829" s="3"/>
      <c r="P1829" s="4">
        <v>42783</v>
      </c>
      <c r="Q1829" s="3" t="s">
        <v>27</v>
      </c>
      <c r="R1829" s="3" t="s">
        <v>28</v>
      </c>
      <c r="S1829" s="3" t="s">
        <v>29</v>
      </c>
      <c r="T1829" s="5">
        <v>14131.95</v>
      </c>
      <c r="U1829" s="5">
        <v>6093.7</v>
      </c>
      <c r="V1829" s="5">
        <v>5627.34</v>
      </c>
      <c r="W1829" s="5">
        <v>2410.91</v>
      </c>
    </row>
    <row r="1830" spans="1:23" ht="60.75">
      <c r="A1830" s="3" t="s">
        <v>23</v>
      </c>
      <c r="B1830" s="3" t="s">
        <v>24</v>
      </c>
      <c r="C1830" s="3" t="s">
        <v>35</v>
      </c>
      <c r="D1830" s="3" t="s">
        <v>36</v>
      </c>
      <c r="E1830" s="3" t="s">
        <v>32</v>
      </c>
      <c r="F1830" s="3" t="s">
        <v>208</v>
      </c>
      <c r="G1830" s="3">
        <v>2016</v>
      </c>
      <c r="H1830" s="3" t="str">
        <f>CONCATENATE("64240234860")</f>
        <v>64240234860</v>
      </c>
      <c r="I1830" s="3" t="s">
        <v>25</v>
      </c>
      <c r="J1830" s="3" t="s">
        <v>26</v>
      </c>
      <c r="K1830" s="3" t="str">
        <f t="shared" si="60"/>
        <v/>
      </c>
      <c r="L1830" s="3" t="str">
        <f>CONCATENATE("11 11.2 4b")</f>
        <v>11 11.2 4b</v>
      </c>
      <c r="M1830" s="3" t="str">
        <f>CONCATENATE("SRGMRA48S44C321N")</f>
        <v>SRGMRA48S44C321N</v>
      </c>
      <c r="N1830" s="3" t="s">
        <v>1843</v>
      </c>
      <c r="O1830" s="3"/>
      <c r="P1830" s="4">
        <v>42783</v>
      </c>
      <c r="Q1830" s="3" t="s">
        <v>27</v>
      </c>
      <c r="R1830" s="3" t="s">
        <v>28</v>
      </c>
      <c r="S1830" s="3" t="s">
        <v>29</v>
      </c>
      <c r="T1830" s="5">
        <v>3607.94</v>
      </c>
      <c r="U1830" s="5">
        <v>1555.74</v>
      </c>
      <c r="V1830" s="5">
        <v>1436.68</v>
      </c>
      <c r="W1830" s="3">
        <v>615.52</v>
      </c>
    </row>
    <row r="1831" spans="1:23" ht="36.75">
      <c r="A1831" s="3" t="s">
        <v>23</v>
      </c>
      <c r="B1831" s="3" t="s">
        <v>24</v>
      </c>
      <c r="C1831" s="3" t="s">
        <v>35</v>
      </c>
      <c r="D1831" s="3" t="s">
        <v>39</v>
      </c>
      <c r="E1831" s="3" t="s">
        <v>30</v>
      </c>
      <c r="F1831" s="3" t="s">
        <v>285</v>
      </c>
      <c r="G1831" s="3">
        <v>2016</v>
      </c>
      <c r="H1831" s="3" t="str">
        <f>CONCATENATE("64240596300")</f>
        <v>64240596300</v>
      </c>
      <c r="I1831" s="3" t="s">
        <v>25</v>
      </c>
      <c r="J1831" s="3" t="s">
        <v>26</v>
      </c>
      <c r="K1831" s="3" t="str">
        <f t="shared" si="60"/>
        <v/>
      </c>
      <c r="L1831" s="3" t="str">
        <f>CONCATENATE("11 11.2 4b")</f>
        <v>11 11.2 4b</v>
      </c>
      <c r="M1831" s="3" t="str">
        <f>CONCATENATE("01374650420")</f>
        <v>01374650420</v>
      </c>
      <c r="N1831" s="3" t="s">
        <v>1844</v>
      </c>
      <c r="O1831" s="3"/>
      <c r="P1831" s="4">
        <v>42783</v>
      </c>
      <c r="Q1831" s="3" t="s">
        <v>27</v>
      </c>
      <c r="R1831" s="3" t="s">
        <v>28</v>
      </c>
      <c r="S1831" s="3" t="s">
        <v>29</v>
      </c>
      <c r="T1831" s="5">
        <v>14375.52</v>
      </c>
      <c r="U1831" s="5">
        <v>6198.72</v>
      </c>
      <c r="V1831" s="5">
        <v>5724.33</v>
      </c>
      <c r="W1831" s="5">
        <v>2452.4699999999998</v>
      </c>
    </row>
    <row r="1832" spans="1:23" ht="60.75">
      <c r="A1832" s="3" t="s">
        <v>23</v>
      </c>
      <c r="B1832" s="3" t="s">
        <v>24</v>
      </c>
      <c r="C1832" s="3" t="s">
        <v>35</v>
      </c>
      <c r="D1832" s="3" t="s">
        <v>43</v>
      </c>
      <c r="E1832" s="3" t="s">
        <v>30</v>
      </c>
      <c r="F1832" s="3" t="s">
        <v>113</v>
      </c>
      <c r="G1832" s="3">
        <v>2016</v>
      </c>
      <c r="H1832" s="3" t="str">
        <f>CONCATENATE("64240813655")</f>
        <v>64240813655</v>
      </c>
      <c r="I1832" s="3" t="s">
        <v>25</v>
      </c>
      <c r="J1832" s="3" t="s">
        <v>26</v>
      </c>
      <c r="K1832" s="3" t="str">
        <f t="shared" si="60"/>
        <v/>
      </c>
      <c r="L1832" s="3" t="str">
        <f>CONCATENATE("11 11.1 4b")</f>
        <v>11 11.1 4b</v>
      </c>
      <c r="M1832" s="3" t="str">
        <f>CONCATENATE("DRUFNC63C69B636V")</f>
        <v>DRUFNC63C69B636V</v>
      </c>
      <c r="N1832" s="3" t="s">
        <v>327</v>
      </c>
      <c r="O1832" s="3"/>
      <c r="P1832" s="4">
        <v>42783</v>
      </c>
      <c r="Q1832" s="3" t="s">
        <v>27</v>
      </c>
      <c r="R1832" s="3" t="s">
        <v>28</v>
      </c>
      <c r="S1832" s="3" t="s">
        <v>29</v>
      </c>
      <c r="T1832" s="5">
        <v>1865.28</v>
      </c>
      <c r="U1832" s="3">
        <v>804.31</v>
      </c>
      <c r="V1832" s="3">
        <v>742.75</v>
      </c>
      <c r="W1832" s="3">
        <v>318.22000000000003</v>
      </c>
    </row>
    <row r="1833" spans="1:23" ht="60.75">
      <c r="A1833" s="3" t="s">
        <v>23</v>
      </c>
      <c r="B1833" s="3" t="s">
        <v>24</v>
      </c>
      <c r="C1833" s="3" t="s">
        <v>35</v>
      </c>
      <c r="D1833" s="3" t="s">
        <v>36</v>
      </c>
      <c r="E1833" s="3" t="s">
        <v>30</v>
      </c>
      <c r="F1833" s="3" t="s">
        <v>53</v>
      </c>
      <c r="G1833" s="3">
        <v>2016</v>
      </c>
      <c r="H1833" s="3" t="str">
        <f>CONCATENATE("64240311486")</f>
        <v>64240311486</v>
      </c>
      <c r="I1833" s="3" t="s">
        <v>25</v>
      </c>
      <c r="J1833" s="3" t="s">
        <v>26</v>
      </c>
      <c r="K1833" s="3" t="str">
        <f t="shared" si="60"/>
        <v/>
      </c>
      <c r="L1833" s="3" t="str">
        <f>CONCATENATE("11 11.2 4b")</f>
        <v>11 11.2 4b</v>
      </c>
      <c r="M1833" s="3" t="str">
        <f>CONCATENATE("FRSNGL32E67A047O")</f>
        <v>FRSNGL32E67A047O</v>
      </c>
      <c r="N1833" s="3" t="s">
        <v>1845</v>
      </c>
      <c r="O1833" s="3"/>
      <c r="P1833" s="4">
        <v>42783</v>
      </c>
      <c r="Q1833" s="3" t="s">
        <v>27</v>
      </c>
      <c r="R1833" s="3" t="s">
        <v>28</v>
      </c>
      <c r="S1833" s="3" t="s">
        <v>29</v>
      </c>
      <c r="T1833" s="5">
        <v>2758.8</v>
      </c>
      <c r="U1833" s="5">
        <v>1189.5899999999999</v>
      </c>
      <c r="V1833" s="5">
        <v>1098.55</v>
      </c>
      <c r="W1833" s="3">
        <v>470.66</v>
      </c>
    </row>
    <row r="1834" spans="1:23" ht="60.75">
      <c r="A1834" s="3" t="s">
        <v>23</v>
      </c>
      <c r="B1834" s="3" t="s">
        <v>24</v>
      </c>
      <c r="C1834" s="3" t="s">
        <v>35</v>
      </c>
      <c r="D1834" s="3" t="s">
        <v>39</v>
      </c>
      <c r="E1834" s="3" t="s">
        <v>30</v>
      </c>
      <c r="F1834" s="3" t="s">
        <v>72</v>
      </c>
      <c r="G1834" s="3">
        <v>2016</v>
      </c>
      <c r="H1834" s="3" t="str">
        <f>CONCATENATE("64240575288")</f>
        <v>64240575288</v>
      </c>
      <c r="I1834" s="3" t="s">
        <v>31</v>
      </c>
      <c r="J1834" s="3" t="s">
        <v>26</v>
      </c>
      <c r="K1834" s="3" t="str">
        <f t="shared" si="60"/>
        <v/>
      </c>
      <c r="L1834" s="3" t="str">
        <f>CONCATENATE("11 11.2 4b")</f>
        <v>11 11.2 4b</v>
      </c>
      <c r="M1834" s="3" t="str">
        <f>CONCATENATE("DGGPLA83C02A271N")</f>
        <v>DGGPLA83C02A271N</v>
      </c>
      <c r="N1834" s="3" t="s">
        <v>1846</v>
      </c>
      <c r="O1834" s="3"/>
      <c r="P1834" s="4">
        <v>42783</v>
      </c>
      <c r="Q1834" s="3" t="s">
        <v>27</v>
      </c>
      <c r="R1834" s="3" t="s">
        <v>28</v>
      </c>
      <c r="S1834" s="3" t="s">
        <v>29</v>
      </c>
      <c r="T1834" s="5">
        <v>2562.7199999999998</v>
      </c>
      <c r="U1834" s="5">
        <v>1105.04</v>
      </c>
      <c r="V1834" s="5">
        <v>1020.48</v>
      </c>
      <c r="W1834" s="3">
        <v>437.2</v>
      </c>
    </row>
    <row r="1835" spans="1:23" ht="36.75">
      <c r="A1835" s="3" t="s">
        <v>23</v>
      </c>
      <c r="B1835" s="3" t="s">
        <v>24</v>
      </c>
      <c r="C1835" s="3" t="s">
        <v>35</v>
      </c>
      <c r="D1835" s="3" t="s">
        <v>36</v>
      </c>
      <c r="E1835" s="3" t="s">
        <v>30</v>
      </c>
      <c r="F1835" s="3" t="s">
        <v>53</v>
      </c>
      <c r="G1835" s="3">
        <v>2016</v>
      </c>
      <c r="H1835" s="3" t="str">
        <f>CONCATENATE("64240384681")</f>
        <v>64240384681</v>
      </c>
      <c r="I1835" s="3" t="s">
        <v>25</v>
      </c>
      <c r="J1835" s="3" t="s">
        <v>26</v>
      </c>
      <c r="K1835" s="3" t="str">
        <f t="shared" si="60"/>
        <v/>
      </c>
      <c r="L1835" s="3" t="str">
        <f>CONCATENATE("11 11.2 4b")</f>
        <v>11 11.2 4b</v>
      </c>
      <c r="M1835" s="3" t="str">
        <f>CONCATENATE("01346810441")</f>
        <v>01346810441</v>
      </c>
      <c r="N1835" s="3" t="s">
        <v>1847</v>
      </c>
      <c r="O1835" s="3"/>
      <c r="P1835" s="4">
        <v>42783</v>
      </c>
      <c r="Q1835" s="3" t="s">
        <v>27</v>
      </c>
      <c r="R1835" s="3" t="s">
        <v>28</v>
      </c>
      <c r="S1835" s="3" t="s">
        <v>29</v>
      </c>
      <c r="T1835" s="5">
        <v>3908.15</v>
      </c>
      <c r="U1835" s="5">
        <v>1685.19</v>
      </c>
      <c r="V1835" s="5">
        <v>1556.23</v>
      </c>
      <c r="W1835" s="3">
        <v>666.73</v>
      </c>
    </row>
    <row r="1836" spans="1:23" ht="60.75">
      <c r="A1836" s="3" t="s">
        <v>23</v>
      </c>
      <c r="B1836" s="3" t="s">
        <v>24</v>
      </c>
      <c r="C1836" s="3" t="s">
        <v>35</v>
      </c>
      <c r="D1836" s="3" t="s">
        <v>43</v>
      </c>
      <c r="E1836" s="3" t="s">
        <v>30</v>
      </c>
      <c r="F1836" s="3" t="s">
        <v>131</v>
      </c>
      <c r="G1836" s="3">
        <v>2016</v>
      </c>
      <c r="H1836" s="3" t="str">
        <f>CONCATENATE("64210959587")</f>
        <v>64210959587</v>
      </c>
      <c r="I1836" s="3" t="s">
        <v>25</v>
      </c>
      <c r="J1836" s="3" t="s">
        <v>26</v>
      </c>
      <c r="K1836" s="3" t="str">
        <f t="shared" si="60"/>
        <v/>
      </c>
      <c r="L1836" s="3" t="str">
        <f>CONCATENATE("13 13.1 4a")</f>
        <v>13 13.1 4a</v>
      </c>
      <c r="M1836" s="3" t="str">
        <f>CONCATENATE("CRPPTR46E29G453P")</f>
        <v>CRPPTR46E29G453P</v>
      </c>
      <c r="N1836" s="3" t="s">
        <v>1848</v>
      </c>
      <c r="O1836" s="3"/>
      <c r="P1836" s="4">
        <v>42783</v>
      </c>
      <c r="Q1836" s="3" t="s">
        <v>27</v>
      </c>
      <c r="R1836" s="3" t="s">
        <v>28</v>
      </c>
      <c r="S1836" s="3" t="s">
        <v>29</v>
      </c>
      <c r="T1836" s="3">
        <v>955.9</v>
      </c>
      <c r="U1836" s="3">
        <v>412.18</v>
      </c>
      <c r="V1836" s="3">
        <v>380.64</v>
      </c>
      <c r="W1836" s="3">
        <v>163.08000000000001</v>
      </c>
    </row>
    <row r="1837" spans="1:23" ht="72.75">
      <c r="A1837" s="3" t="s">
        <v>23</v>
      </c>
      <c r="B1837" s="3" t="s">
        <v>24</v>
      </c>
      <c r="C1837" s="3" t="s">
        <v>35</v>
      </c>
      <c r="D1837" s="3" t="s">
        <v>48</v>
      </c>
      <c r="E1837" s="3" t="s">
        <v>49</v>
      </c>
      <c r="F1837" s="3" t="s">
        <v>80</v>
      </c>
      <c r="G1837" s="3">
        <v>2016</v>
      </c>
      <c r="H1837" s="3" t="str">
        <f>CONCATENATE("64210656415")</f>
        <v>64210656415</v>
      </c>
      <c r="I1837" s="3" t="s">
        <v>25</v>
      </c>
      <c r="J1837" s="3" t="s">
        <v>26</v>
      </c>
      <c r="K1837" s="3" t="str">
        <f t="shared" si="60"/>
        <v/>
      </c>
      <c r="L1837" s="3" t="str">
        <f>CONCATENATE("13 13.1 4a")</f>
        <v>13 13.1 4a</v>
      </c>
      <c r="M1837" s="3" t="str">
        <f>CONCATENATE("MGGNZR49E24I661D")</f>
        <v>MGGNZR49E24I661D</v>
      </c>
      <c r="N1837" s="3" t="s">
        <v>1849</v>
      </c>
      <c r="O1837" s="3"/>
      <c r="P1837" s="4">
        <v>42783</v>
      </c>
      <c r="Q1837" s="3" t="s">
        <v>27</v>
      </c>
      <c r="R1837" s="3" t="s">
        <v>28</v>
      </c>
      <c r="S1837" s="3" t="s">
        <v>29</v>
      </c>
      <c r="T1837" s="5">
        <v>2000.46</v>
      </c>
      <c r="U1837" s="3">
        <v>862.6</v>
      </c>
      <c r="V1837" s="3">
        <v>796.58</v>
      </c>
      <c r="W1837" s="3">
        <v>341.28</v>
      </c>
    </row>
    <row r="1838" spans="1:23" ht="60.75">
      <c r="A1838" s="3" t="s">
        <v>23</v>
      </c>
      <c r="B1838" s="3" t="s">
        <v>24</v>
      </c>
      <c r="C1838" s="3" t="s">
        <v>35</v>
      </c>
      <c r="D1838" s="3" t="s">
        <v>43</v>
      </c>
      <c r="E1838" s="3" t="s">
        <v>30</v>
      </c>
      <c r="F1838" s="3" t="s">
        <v>76</v>
      </c>
      <c r="G1838" s="3">
        <v>2016</v>
      </c>
      <c r="H1838" s="3" t="str">
        <f>CONCATENATE("64210164543")</f>
        <v>64210164543</v>
      </c>
      <c r="I1838" s="3" t="s">
        <v>25</v>
      </c>
      <c r="J1838" s="3" t="s">
        <v>26</v>
      </c>
      <c r="K1838" s="3" t="str">
        <f t="shared" si="60"/>
        <v/>
      </c>
      <c r="L1838" s="3" t="str">
        <f>CONCATENATE("13 13.1 4a")</f>
        <v>13 13.1 4a</v>
      </c>
      <c r="M1838" s="3" t="str">
        <f>CONCATENATE("VNNGCR52B19F524H")</f>
        <v>VNNGCR52B19F524H</v>
      </c>
      <c r="N1838" s="3" t="s">
        <v>1850</v>
      </c>
      <c r="O1838" s="3"/>
      <c r="P1838" s="4">
        <v>42783</v>
      </c>
      <c r="Q1838" s="3" t="s">
        <v>27</v>
      </c>
      <c r="R1838" s="3" t="s">
        <v>28</v>
      </c>
      <c r="S1838" s="3" t="s">
        <v>29</v>
      </c>
      <c r="T1838" s="5">
        <v>3210.26</v>
      </c>
      <c r="U1838" s="5">
        <v>1384.26</v>
      </c>
      <c r="V1838" s="5">
        <v>1278.33</v>
      </c>
      <c r="W1838" s="3">
        <v>547.66999999999996</v>
      </c>
    </row>
    <row r="1839" spans="1:23" ht="60.75">
      <c r="A1839" s="3" t="s">
        <v>23</v>
      </c>
      <c r="B1839" s="3" t="s">
        <v>24</v>
      </c>
      <c r="C1839" s="3" t="s">
        <v>35</v>
      </c>
      <c r="D1839" s="3" t="s">
        <v>43</v>
      </c>
      <c r="E1839" s="3" t="s">
        <v>49</v>
      </c>
      <c r="F1839" s="3" t="s">
        <v>276</v>
      </c>
      <c r="G1839" s="3">
        <v>2016</v>
      </c>
      <c r="H1839" s="3" t="str">
        <f>CONCATENATE("64240183653")</f>
        <v>64240183653</v>
      </c>
      <c r="I1839" s="3" t="s">
        <v>25</v>
      </c>
      <c r="J1839" s="3" t="s">
        <v>26</v>
      </c>
      <c r="K1839" s="3" t="str">
        <f t="shared" si="60"/>
        <v/>
      </c>
      <c r="L1839" s="3" t="str">
        <f>CONCATENATE("11 11.2 4b")</f>
        <v>11 11.2 4b</v>
      </c>
      <c r="M1839" s="3" t="str">
        <f>CONCATENATE("CLSCLD65D10I287A")</f>
        <v>CLSCLD65D10I287A</v>
      </c>
      <c r="N1839" s="3" t="s">
        <v>1851</v>
      </c>
      <c r="O1839" s="3"/>
      <c r="P1839" s="4">
        <v>42783</v>
      </c>
      <c r="Q1839" s="3" t="s">
        <v>27</v>
      </c>
      <c r="R1839" s="3" t="s">
        <v>28</v>
      </c>
      <c r="S1839" s="3" t="s">
        <v>29</v>
      </c>
      <c r="T1839" s="5">
        <v>3535.79</v>
      </c>
      <c r="U1839" s="5">
        <v>1524.63</v>
      </c>
      <c r="V1839" s="5">
        <v>1407.95</v>
      </c>
      <c r="W1839" s="3">
        <v>603.21</v>
      </c>
    </row>
    <row r="1840" spans="1:23" ht="60.75">
      <c r="A1840" s="3" t="s">
        <v>23</v>
      </c>
      <c r="B1840" s="3" t="s">
        <v>24</v>
      </c>
      <c r="C1840" s="3" t="s">
        <v>35</v>
      </c>
      <c r="D1840" s="3" t="s">
        <v>36</v>
      </c>
      <c r="E1840" s="3" t="s">
        <v>34</v>
      </c>
      <c r="F1840" s="3" t="s">
        <v>273</v>
      </c>
      <c r="G1840" s="3">
        <v>2016</v>
      </c>
      <c r="H1840" s="3" t="str">
        <f>CONCATENATE("64240459657")</f>
        <v>64240459657</v>
      </c>
      <c r="I1840" s="3" t="s">
        <v>25</v>
      </c>
      <c r="J1840" s="3" t="s">
        <v>26</v>
      </c>
      <c r="K1840" s="3" t="str">
        <f t="shared" si="60"/>
        <v/>
      </c>
      <c r="L1840" s="3" t="str">
        <f>CONCATENATE("11 11.2 4b")</f>
        <v>11 11.2 4b</v>
      </c>
      <c r="M1840" s="3" t="str">
        <f>CONCATENATE("SCRFRA49L66F415C")</f>
        <v>SCRFRA49L66F415C</v>
      </c>
      <c r="N1840" s="3" t="s">
        <v>1852</v>
      </c>
      <c r="O1840" s="3"/>
      <c r="P1840" s="4">
        <v>42783</v>
      </c>
      <c r="Q1840" s="3" t="s">
        <v>27</v>
      </c>
      <c r="R1840" s="3" t="s">
        <v>28</v>
      </c>
      <c r="S1840" s="3" t="s">
        <v>29</v>
      </c>
      <c r="T1840" s="5">
        <v>1438.94</v>
      </c>
      <c r="U1840" s="3">
        <v>620.47</v>
      </c>
      <c r="V1840" s="3">
        <v>572.99</v>
      </c>
      <c r="W1840" s="3">
        <v>245.48</v>
      </c>
    </row>
    <row r="1841" spans="1:23" ht="36.75">
      <c r="A1841" s="3" t="s">
        <v>23</v>
      </c>
      <c r="B1841" s="3" t="s">
        <v>24</v>
      </c>
      <c r="C1841" s="3" t="s">
        <v>35</v>
      </c>
      <c r="D1841" s="3" t="s">
        <v>36</v>
      </c>
      <c r="E1841" s="3" t="s">
        <v>32</v>
      </c>
      <c r="F1841" s="3" t="s">
        <v>127</v>
      </c>
      <c r="G1841" s="3">
        <v>2016</v>
      </c>
      <c r="H1841" s="3" t="str">
        <f>CONCATENATE("64240614095")</f>
        <v>64240614095</v>
      </c>
      <c r="I1841" s="3" t="s">
        <v>25</v>
      </c>
      <c r="J1841" s="3" t="s">
        <v>26</v>
      </c>
      <c r="K1841" s="3" t="str">
        <f t="shared" si="60"/>
        <v/>
      </c>
      <c r="L1841" s="3" t="str">
        <f>CONCATENATE("11 11.1 4b")</f>
        <v>11 11.1 4b</v>
      </c>
      <c r="M1841" s="3" t="str">
        <f>CONCATENATE("01435160443")</f>
        <v>01435160443</v>
      </c>
      <c r="N1841" s="3" t="s">
        <v>1853</v>
      </c>
      <c r="O1841" s="3"/>
      <c r="P1841" s="4">
        <v>42783</v>
      </c>
      <c r="Q1841" s="3" t="s">
        <v>27</v>
      </c>
      <c r="R1841" s="3" t="s">
        <v>28</v>
      </c>
      <c r="S1841" s="3" t="s">
        <v>29</v>
      </c>
      <c r="T1841" s="5">
        <v>1512.05</v>
      </c>
      <c r="U1841" s="3">
        <v>652</v>
      </c>
      <c r="V1841" s="3">
        <v>602.1</v>
      </c>
      <c r="W1841" s="3">
        <v>257.95</v>
      </c>
    </row>
    <row r="1842" spans="1:23" ht="36.75">
      <c r="A1842" s="3" t="s">
        <v>23</v>
      </c>
      <c r="B1842" s="3" t="s">
        <v>24</v>
      </c>
      <c r="C1842" s="3" t="s">
        <v>35</v>
      </c>
      <c r="D1842" s="3" t="s">
        <v>48</v>
      </c>
      <c r="E1842" s="3" t="s">
        <v>34</v>
      </c>
      <c r="F1842" s="3" t="s">
        <v>141</v>
      </c>
      <c r="G1842" s="3">
        <v>2016</v>
      </c>
      <c r="H1842" s="3" t="str">
        <f>CONCATENATE("64240744140")</f>
        <v>64240744140</v>
      </c>
      <c r="I1842" s="3" t="s">
        <v>25</v>
      </c>
      <c r="J1842" s="3" t="s">
        <v>26</v>
      </c>
      <c r="K1842" s="3" t="str">
        <f t="shared" si="60"/>
        <v/>
      </c>
      <c r="L1842" s="3" t="str">
        <f>CONCATENATE("11 11.2 4b")</f>
        <v>11 11.2 4b</v>
      </c>
      <c r="M1842" s="3" t="str">
        <f>CONCATENATE("00811080431")</f>
        <v>00811080431</v>
      </c>
      <c r="N1842" s="3" t="s">
        <v>1854</v>
      </c>
      <c r="O1842" s="3"/>
      <c r="P1842" s="4">
        <v>42783</v>
      </c>
      <c r="Q1842" s="3" t="s">
        <v>27</v>
      </c>
      <c r="R1842" s="3" t="s">
        <v>28</v>
      </c>
      <c r="S1842" s="3" t="s">
        <v>29</v>
      </c>
      <c r="T1842" s="5">
        <v>11063.13</v>
      </c>
      <c r="U1842" s="5">
        <v>4770.42</v>
      </c>
      <c r="V1842" s="5">
        <v>4405.34</v>
      </c>
      <c r="W1842" s="5">
        <v>1887.37</v>
      </c>
    </row>
    <row r="1843" spans="1:23" ht="60.75">
      <c r="A1843" s="3" t="s">
        <v>23</v>
      </c>
      <c r="B1843" s="3" t="s">
        <v>24</v>
      </c>
      <c r="C1843" s="3" t="s">
        <v>35</v>
      </c>
      <c r="D1843" s="3" t="s">
        <v>43</v>
      </c>
      <c r="E1843" s="3" t="s">
        <v>32</v>
      </c>
      <c r="F1843" s="3" t="s">
        <v>78</v>
      </c>
      <c r="G1843" s="3">
        <v>2016</v>
      </c>
      <c r="H1843" s="3" t="str">
        <f>CONCATENATE("64240562112")</f>
        <v>64240562112</v>
      </c>
      <c r="I1843" s="3" t="s">
        <v>25</v>
      </c>
      <c r="J1843" s="3" t="s">
        <v>26</v>
      </c>
      <c r="K1843" s="3" t="str">
        <f t="shared" si="60"/>
        <v/>
      </c>
      <c r="L1843" s="3" t="str">
        <f>CONCATENATE("11 11.2 4b")</f>
        <v>11 11.2 4b</v>
      </c>
      <c r="M1843" s="3" t="str">
        <f>CONCATENATE("GMBNTN39P24L500S")</f>
        <v>GMBNTN39P24L500S</v>
      </c>
      <c r="N1843" s="3" t="s">
        <v>1855</v>
      </c>
      <c r="O1843" s="3"/>
      <c r="P1843" s="4">
        <v>42783</v>
      </c>
      <c r="Q1843" s="3" t="s">
        <v>27</v>
      </c>
      <c r="R1843" s="3" t="s">
        <v>28</v>
      </c>
      <c r="S1843" s="3" t="s">
        <v>29</v>
      </c>
      <c r="T1843" s="5">
        <v>2617</v>
      </c>
      <c r="U1843" s="5">
        <v>1128.45</v>
      </c>
      <c r="V1843" s="5">
        <v>1042.0899999999999</v>
      </c>
      <c r="W1843" s="3">
        <v>446.46</v>
      </c>
    </row>
    <row r="1844" spans="1:23" ht="60.75">
      <c r="A1844" s="3" t="s">
        <v>23</v>
      </c>
      <c r="B1844" s="3" t="s">
        <v>24</v>
      </c>
      <c r="C1844" s="3" t="s">
        <v>35</v>
      </c>
      <c r="D1844" s="3" t="s">
        <v>48</v>
      </c>
      <c r="E1844" s="3" t="s">
        <v>30</v>
      </c>
      <c r="F1844" s="3" t="s">
        <v>91</v>
      </c>
      <c r="G1844" s="3">
        <v>2016</v>
      </c>
      <c r="H1844" s="3" t="str">
        <f>CONCATENATE("64210595258")</f>
        <v>64210595258</v>
      </c>
      <c r="I1844" s="3" t="s">
        <v>25</v>
      </c>
      <c r="J1844" s="3" t="s">
        <v>26</v>
      </c>
      <c r="K1844" s="3" t="str">
        <f t="shared" si="60"/>
        <v/>
      </c>
      <c r="L1844" s="3" t="str">
        <f>CONCATENATE("13 13.1 4a")</f>
        <v>13 13.1 4a</v>
      </c>
      <c r="M1844" s="3" t="str">
        <f>CONCATENATE("SPRGNN42D11B474P")</f>
        <v>SPRGNN42D11B474P</v>
      </c>
      <c r="N1844" s="3" t="s">
        <v>1856</v>
      </c>
      <c r="O1844" s="3"/>
      <c r="P1844" s="4">
        <v>42783</v>
      </c>
      <c r="Q1844" s="3" t="s">
        <v>27</v>
      </c>
      <c r="R1844" s="3" t="s">
        <v>28</v>
      </c>
      <c r="S1844" s="3" t="s">
        <v>29</v>
      </c>
      <c r="T1844" s="5">
        <v>3300.01</v>
      </c>
      <c r="U1844" s="5">
        <v>1422.96</v>
      </c>
      <c r="V1844" s="5">
        <v>1314.06</v>
      </c>
      <c r="W1844" s="3">
        <v>562.99</v>
      </c>
    </row>
    <row r="1845" spans="1:23" ht="36.75">
      <c r="A1845" s="3" t="s">
        <v>23</v>
      </c>
      <c r="B1845" s="3" t="s">
        <v>24</v>
      </c>
      <c r="C1845" s="3" t="s">
        <v>35</v>
      </c>
      <c r="D1845" s="3" t="s">
        <v>48</v>
      </c>
      <c r="E1845" s="3" t="s">
        <v>49</v>
      </c>
      <c r="F1845" s="3" t="s">
        <v>80</v>
      </c>
      <c r="G1845" s="3">
        <v>2016</v>
      </c>
      <c r="H1845" s="3" t="str">
        <f>CONCATENATE("64240261079")</f>
        <v>64240261079</v>
      </c>
      <c r="I1845" s="3" t="s">
        <v>25</v>
      </c>
      <c r="J1845" s="3" t="s">
        <v>26</v>
      </c>
      <c r="K1845" s="3" t="str">
        <f t="shared" si="60"/>
        <v/>
      </c>
      <c r="L1845" s="3" t="str">
        <f>CONCATENATE("11 11.1 4b")</f>
        <v>11 11.1 4b</v>
      </c>
      <c r="M1845" s="3" t="str">
        <f>CONCATENATE("01781710437")</f>
        <v>01781710437</v>
      </c>
      <c r="N1845" s="3" t="s">
        <v>1857</v>
      </c>
      <c r="O1845" s="3"/>
      <c r="P1845" s="4">
        <v>42783</v>
      </c>
      <c r="Q1845" s="3" t="s">
        <v>27</v>
      </c>
      <c r="R1845" s="3" t="s">
        <v>28</v>
      </c>
      <c r="S1845" s="3" t="s">
        <v>29</v>
      </c>
      <c r="T1845" s="5">
        <v>12745.11</v>
      </c>
      <c r="U1845" s="5">
        <v>5495.69</v>
      </c>
      <c r="V1845" s="5">
        <v>5075.1000000000004</v>
      </c>
      <c r="W1845" s="5">
        <v>2174.3200000000002</v>
      </c>
    </row>
    <row r="1846" spans="1:23" ht="60.75">
      <c r="A1846" s="3" t="s">
        <v>23</v>
      </c>
      <c r="B1846" s="3" t="s">
        <v>24</v>
      </c>
      <c r="C1846" s="3" t="s">
        <v>35</v>
      </c>
      <c r="D1846" s="3" t="s">
        <v>36</v>
      </c>
      <c r="E1846" s="3" t="s">
        <v>30</v>
      </c>
      <c r="F1846" s="3" t="s">
        <v>323</v>
      </c>
      <c r="G1846" s="3">
        <v>2016</v>
      </c>
      <c r="H1846" s="3" t="str">
        <f>CONCATENATE("64240628020")</f>
        <v>64240628020</v>
      </c>
      <c r="I1846" s="3" t="s">
        <v>25</v>
      </c>
      <c r="J1846" s="3" t="s">
        <v>26</v>
      </c>
      <c r="K1846" s="3" t="str">
        <f t="shared" si="60"/>
        <v/>
      </c>
      <c r="L1846" s="3" t="str">
        <f>CONCATENATE("11 11.1 4b")</f>
        <v>11 11.1 4b</v>
      </c>
      <c r="M1846" s="3" t="str">
        <f>CONCATENATE("DNGNRC68P13G005I")</f>
        <v>DNGNRC68P13G005I</v>
      </c>
      <c r="N1846" s="3" t="s">
        <v>1859</v>
      </c>
      <c r="O1846" s="3"/>
      <c r="P1846" s="4">
        <v>42783</v>
      </c>
      <c r="Q1846" s="3" t="s">
        <v>27</v>
      </c>
      <c r="R1846" s="3" t="s">
        <v>28</v>
      </c>
      <c r="S1846" s="3" t="s">
        <v>29</v>
      </c>
      <c r="T1846" s="3">
        <v>632.34</v>
      </c>
      <c r="U1846" s="3">
        <v>272.67</v>
      </c>
      <c r="V1846" s="3">
        <v>251.8</v>
      </c>
      <c r="W1846" s="3">
        <v>107.87</v>
      </c>
    </row>
    <row r="1847" spans="1:23" ht="60.75">
      <c r="A1847" s="3" t="s">
        <v>23</v>
      </c>
      <c r="B1847" s="3" t="s">
        <v>24</v>
      </c>
      <c r="C1847" s="3" t="s">
        <v>35</v>
      </c>
      <c r="D1847" s="3" t="s">
        <v>39</v>
      </c>
      <c r="E1847" s="3" t="s">
        <v>30</v>
      </c>
      <c r="F1847" s="3" t="s">
        <v>84</v>
      </c>
      <c r="G1847" s="3">
        <v>2016</v>
      </c>
      <c r="H1847" s="3" t="str">
        <f>CONCATENATE("64210994956")</f>
        <v>64210994956</v>
      </c>
      <c r="I1847" s="3" t="s">
        <v>25</v>
      </c>
      <c r="J1847" s="3" t="s">
        <v>26</v>
      </c>
      <c r="K1847" s="3" t="str">
        <f t="shared" si="60"/>
        <v/>
      </c>
      <c r="L1847" s="3" t="str">
        <f>CONCATENATE("13 13.1 4a")</f>
        <v>13 13.1 4a</v>
      </c>
      <c r="M1847" s="3" t="str">
        <f>CONCATENATE("CPPPRN59A12D429T")</f>
        <v>CPPPRN59A12D429T</v>
      </c>
      <c r="N1847" s="3" t="s">
        <v>1860</v>
      </c>
      <c r="O1847" s="3"/>
      <c r="P1847" s="4">
        <v>42783</v>
      </c>
      <c r="Q1847" s="3" t="s">
        <v>27</v>
      </c>
      <c r="R1847" s="3" t="s">
        <v>28</v>
      </c>
      <c r="S1847" s="3" t="s">
        <v>29</v>
      </c>
      <c r="T1847" s="3">
        <v>438.31</v>
      </c>
      <c r="U1847" s="3">
        <v>189</v>
      </c>
      <c r="V1847" s="3">
        <v>174.54</v>
      </c>
      <c r="W1847" s="3">
        <v>74.77</v>
      </c>
    </row>
    <row r="1848" spans="1:23" ht="36.75">
      <c r="A1848" s="3" t="s">
        <v>23</v>
      </c>
      <c r="B1848" s="3" t="s">
        <v>24</v>
      </c>
      <c r="C1848" s="3" t="s">
        <v>35</v>
      </c>
      <c r="D1848" s="3" t="s">
        <v>48</v>
      </c>
      <c r="E1848" s="3" t="s">
        <v>135</v>
      </c>
      <c r="F1848" s="3" t="s">
        <v>136</v>
      </c>
      <c r="G1848" s="3">
        <v>2016</v>
      </c>
      <c r="H1848" s="3" t="str">
        <f>CONCATENATE("64240505624")</f>
        <v>64240505624</v>
      </c>
      <c r="I1848" s="3" t="s">
        <v>25</v>
      </c>
      <c r="J1848" s="3" t="s">
        <v>26</v>
      </c>
      <c r="K1848" s="3" t="str">
        <f t="shared" si="60"/>
        <v/>
      </c>
      <c r="L1848" s="3" t="str">
        <f>CONCATENATE("11 11.2 4b")</f>
        <v>11 11.2 4b</v>
      </c>
      <c r="M1848" s="3" t="str">
        <f>CONCATENATE("01824020430")</f>
        <v>01824020430</v>
      </c>
      <c r="N1848" s="3" t="s">
        <v>1861</v>
      </c>
      <c r="O1848" s="3"/>
      <c r="P1848" s="4">
        <v>42783</v>
      </c>
      <c r="Q1848" s="3" t="s">
        <v>27</v>
      </c>
      <c r="R1848" s="3" t="s">
        <v>28</v>
      </c>
      <c r="S1848" s="3" t="s">
        <v>29</v>
      </c>
      <c r="T1848" s="5">
        <v>9632.99</v>
      </c>
      <c r="U1848" s="5">
        <v>4153.75</v>
      </c>
      <c r="V1848" s="5">
        <v>3835.86</v>
      </c>
      <c r="W1848" s="5">
        <v>1643.38</v>
      </c>
    </row>
    <row r="1849" spans="1:23" ht="60.75">
      <c r="A1849" s="3" t="s">
        <v>23</v>
      </c>
      <c r="B1849" s="3" t="s">
        <v>24</v>
      </c>
      <c r="C1849" s="3" t="s">
        <v>35</v>
      </c>
      <c r="D1849" s="3" t="s">
        <v>36</v>
      </c>
      <c r="E1849" s="3" t="s">
        <v>32</v>
      </c>
      <c r="F1849" s="3" t="s">
        <v>208</v>
      </c>
      <c r="G1849" s="3">
        <v>2016</v>
      </c>
      <c r="H1849" s="3" t="str">
        <f>CONCATENATE("64240351607")</f>
        <v>64240351607</v>
      </c>
      <c r="I1849" s="3" t="s">
        <v>25</v>
      </c>
      <c r="J1849" s="3" t="s">
        <v>26</v>
      </c>
      <c r="K1849" s="3" t="str">
        <f t="shared" si="60"/>
        <v/>
      </c>
      <c r="L1849" s="3" t="str">
        <f>CONCATENATE("11 11.2 4b")</f>
        <v>11 11.2 4b</v>
      </c>
      <c r="M1849" s="3" t="str">
        <f>CONCATENATE("DBLNNE54E55A491H")</f>
        <v>DBLNNE54E55A491H</v>
      </c>
      <c r="N1849" s="3" t="s">
        <v>1862</v>
      </c>
      <c r="O1849" s="3"/>
      <c r="P1849" s="4">
        <v>42783</v>
      </c>
      <c r="Q1849" s="3" t="s">
        <v>27</v>
      </c>
      <c r="R1849" s="3" t="s">
        <v>28</v>
      </c>
      <c r="S1849" s="3" t="s">
        <v>29</v>
      </c>
      <c r="T1849" s="5">
        <v>1740.26</v>
      </c>
      <c r="U1849" s="3">
        <v>750.4</v>
      </c>
      <c r="V1849" s="3">
        <v>692.97</v>
      </c>
      <c r="W1849" s="3">
        <v>296.89</v>
      </c>
    </row>
    <row r="1850" spans="1:23" ht="60.75">
      <c r="A1850" s="3" t="s">
        <v>23</v>
      </c>
      <c r="B1850" s="3" t="s">
        <v>24</v>
      </c>
      <c r="C1850" s="3" t="s">
        <v>35</v>
      </c>
      <c r="D1850" s="3" t="s">
        <v>48</v>
      </c>
      <c r="E1850" s="3" t="s">
        <v>30</v>
      </c>
      <c r="F1850" s="3" t="s">
        <v>91</v>
      </c>
      <c r="G1850" s="3">
        <v>2016</v>
      </c>
      <c r="H1850" s="3" t="str">
        <f>CONCATENATE("64210674871")</f>
        <v>64210674871</v>
      </c>
      <c r="I1850" s="3" t="s">
        <v>25</v>
      </c>
      <c r="J1850" s="3" t="s">
        <v>26</v>
      </c>
      <c r="K1850" s="3" t="str">
        <f t="shared" si="60"/>
        <v/>
      </c>
      <c r="L1850" s="3" t="str">
        <f>CONCATENATE("13 13.1 4a")</f>
        <v>13 13.1 4a</v>
      </c>
      <c r="M1850" s="3" t="str">
        <f>CONCATENATE("GVNLNI55C67M078Y")</f>
        <v>GVNLNI55C67M078Y</v>
      </c>
      <c r="N1850" s="3" t="s">
        <v>1863</v>
      </c>
      <c r="O1850" s="3"/>
      <c r="P1850" s="4">
        <v>42783</v>
      </c>
      <c r="Q1850" s="3" t="s">
        <v>27</v>
      </c>
      <c r="R1850" s="3" t="s">
        <v>28</v>
      </c>
      <c r="S1850" s="3" t="s">
        <v>29</v>
      </c>
      <c r="T1850" s="5">
        <v>4590</v>
      </c>
      <c r="U1850" s="5">
        <v>1979.21</v>
      </c>
      <c r="V1850" s="5">
        <v>1827.74</v>
      </c>
      <c r="W1850" s="3">
        <v>783.05</v>
      </c>
    </row>
    <row r="1851" spans="1:23" ht="60.75">
      <c r="A1851" s="3" t="s">
        <v>23</v>
      </c>
      <c r="B1851" s="3" t="s">
        <v>24</v>
      </c>
      <c r="C1851" s="3" t="s">
        <v>35</v>
      </c>
      <c r="D1851" s="3" t="s">
        <v>48</v>
      </c>
      <c r="E1851" s="3" t="s">
        <v>59</v>
      </c>
      <c r="F1851" s="3" t="s">
        <v>240</v>
      </c>
      <c r="G1851" s="3">
        <v>2016</v>
      </c>
      <c r="H1851" s="3" t="str">
        <f>CONCATENATE("64240403283")</f>
        <v>64240403283</v>
      </c>
      <c r="I1851" s="3" t="s">
        <v>25</v>
      </c>
      <c r="J1851" s="3" t="s">
        <v>26</v>
      </c>
      <c r="K1851" s="3" t="str">
        <f t="shared" si="60"/>
        <v/>
      </c>
      <c r="L1851" s="3" t="str">
        <f>CONCATENATE("11 11.2 4b")</f>
        <v>11 11.2 4b</v>
      </c>
      <c r="M1851" s="3" t="str">
        <f>CONCATENATE("MSCMLN66C66H211A")</f>
        <v>MSCMLN66C66H211A</v>
      </c>
      <c r="N1851" s="3" t="s">
        <v>1864</v>
      </c>
      <c r="O1851" s="3"/>
      <c r="P1851" s="4">
        <v>42783</v>
      </c>
      <c r="Q1851" s="3" t="s">
        <v>27</v>
      </c>
      <c r="R1851" s="3" t="s">
        <v>28</v>
      </c>
      <c r="S1851" s="3" t="s">
        <v>29</v>
      </c>
      <c r="T1851" s="5">
        <v>2380.81</v>
      </c>
      <c r="U1851" s="5">
        <v>1026.6099999999999</v>
      </c>
      <c r="V1851" s="3">
        <v>948.04</v>
      </c>
      <c r="W1851" s="3">
        <v>406.16</v>
      </c>
    </row>
    <row r="1852" spans="1:23" ht="60.75">
      <c r="A1852" s="3" t="s">
        <v>23</v>
      </c>
      <c r="B1852" s="3" t="s">
        <v>24</v>
      </c>
      <c r="C1852" s="3" t="s">
        <v>35</v>
      </c>
      <c r="D1852" s="3" t="s">
        <v>36</v>
      </c>
      <c r="E1852" s="3" t="s">
        <v>33</v>
      </c>
      <c r="F1852" s="3" t="s">
        <v>192</v>
      </c>
      <c r="G1852" s="3">
        <v>2016</v>
      </c>
      <c r="H1852" s="3" t="str">
        <f>CONCATENATE("64240396537")</f>
        <v>64240396537</v>
      </c>
      <c r="I1852" s="3" t="s">
        <v>25</v>
      </c>
      <c r="J1852" s="3" t="s">
        <v>26</v>
      </c>
      <c r="K1852" s="3" t="str">
        <f t="shared" si="60"/>
        <v/>
      </c>
      <c r="L1852" s="3" t="str">
        <f>CONCATENATE("11 11.2 4b")</f>
        <v>11 11.2 4b</v>
      </c>
      <c r="M1852" s="3" t="str">
        <f>CONCATENATE("CPPNZE58L17G005W")</f>
        <v>CPPNZE58L17G005W</v>
      </c>
      <c r="N1852" s="3" t="s">
        <v>1865</v>
      </c>
      <c r="O1852" s="3"/>
      <c r="P1852" s="4">
        <v>42783</v>
      </c>
      <c r="Q1852" s="3" t="s">
        <v>27</v>
      </c>
      <c r="R1852" s="3" t="s">
        <v>28</v>
      </c>
      <c r="S1852" s="3" t="s">
        <v>29</v>
      </c>
      <c r="T1852" s="3">
        <v>834.66</v>
      </c>
      <c r="U1852" s="3">
        <v>359.91</v>
      </c>
      <c r="V1852" s="3">
        <v>332.36</v>
      </c>
      <c r="W1852" s="3">
        <v>142.38999999999999</v>
      </c>
    </row>
    <row r="1853" spans="1:23" ht="60.75">
      <c r="A1853" s="3" t="s">
        <v>23</v>
      </c>
      <c r="B1853" s="3" t="s">
        <v>24</v>
      </c>
      <c r="C1853" s="3" t="s">
        <v>35</v>
      </c>
      <c r="D1853" s="3" t="s">
        <v>43</v>
      </c>
      <c r="E1853" s="3" t="s">
        <v>49</v>
      </c>
      <c r="F1853" s="3" t="s">
        <v>139</v>
      </c>
      <c r="G1853" s="3">
        <v>2016</v>
      </c>
      <c r="H1853" s="3" t="str">
        <f>CONCATENATE("64240344966")</f>
        <v>64240344966</v>
      </c>
      <c r="I1853" s="3" t="s">
        <v>25</v>
      </c>
      <c r="J1853" s="3" t="s">
        <v>26</v>
      </c>
      <c r="K1853" s="3" t="str">
        <f t="shared" si="60"/>
        <v/>
      </c>
      <c r="L1853" s="3" t="str">
        <f>CONCATENATE("11 11.2 4b")</f>
        <v>11 11.2 4b</v>
      </c>
      <c r="M1853" s="3" t="str">
        <f>CONCATENATE("PLAGRG87C17I459X")</f>
        <v>PLAGRG87C17I459X</v>
      </c>
      <c r="N1853" s="3" t="s">
        <v>1866</v>
      </c>
      <c r="O1853" s="3"/>
      <c r="P1853" s="4">
        <v>42783</v>
      </c>
      <c r="Q1853" s="3" t="s">
        <v>27</v>
      </c>
      <c r="R1853" s="3" t="s">
        <v>28</v>
      </c>
      <c r="S1853" s="3" t="s">
        <v>29</v>
      </c>
      <c r="T1853" s="5">
        <v>6504.18</v>
      </c>
      <c r="U1853" s="5">
        <v>2804.6</v>
      </c>
      <c r="V1853" s="5">
        <v>2589.96</v>
      </c>
      <c r="W1853" s="5">
        <v>1109.6199999999999</v>
      </c>
    </row>
    <row r="1854" spans="1:23" ht="60.75">
      <c r="A1854" s="3" t="s">
        <v>23</v>
      </c>
      <c r="B1854" s="3" t="s">
        <v>24</v>
      </c>
      <c r="C1854" s="3" t="s">
        <v>35</v>
      </c>
      <c r="D1854" s="3" t="s">
        <v>36</v>
      </c>
      <c r="E1854" s="3" t="s">
        <v>32</v>
      </c>
      <c r="F1854" s="3" t="s">
        <v>179</v>
      </c>
      <c r="G1854" s="3">
        <v>2016</v>
      </c>
      <c r="H1854" s="3" t="str">
        <f>CONCATENATE("64240663464")</f>
        <v>64240663464</v>
      </c>
      <c r="I1854" s="3" t="s">
        <v>25</v>
      </c>
      <c r="J1854" s="3" t="s">
        <v>26</v>
      </c>
      <c r="K1854" s="3" t="str">
        <f t="shared" si="60"/>
        <v/>
      </c>
      <c r="L1854" s="3" t="str">
        <f>CONCATENATE("10 10.1 4b")</f>
        <v>10 10.1 4b</v>
      </c>
      <c r="M1854" s="3" t="str">
        <f>CONCATENATE("PRTSLV72M50H769P")</f>
        <v>PRTSLV72M50H769P</v>
      </c>
      <c r="N1854" s="3" t="s">
        <v>1867</v>
      </c>
      <c r="O1854" s="3"/>
      <c r="P1854" s="4">
        <v>42783</v>
      </c>
      <c r="Q1854" s="3" t="s">
        <v>27</v>
      </c>
      <c r="R1854" s="3" t="s">
        <v>28</v>
      </c>
      <c r="S1854" s="3" t="s">
        <v>29</v>
      </c>
      <c r="T1854" s="5">
        <v>2280.36</v>
      </c>
      <c r="U1854" s="3">
        <v>983.29</v>
      </c>
      <c r="V1854" s="3">
        <v>908.04</v>
      </c>
      <c r="W1854" s="3">
        <v>389.03</v>
      </c>
    </row>
    <row r="1855" spans="1:23" ht="60.75">
      <c r="A1855" s="3" t="s">
        <v>23</v>
      </c>
      <c r="B1855" s="3" t="s">
        <v>24</v>
      </c>
      <c r="C1855" s="3" t="s">
        <v>35</v>
      </c>
      <c r="D1855" s="3" t="s">
        <v>36</v>
      </c>
      <c r="E1855" s="3" t="s">
        <v>42</v>
      </c>
      <c r="F1855" s="3" t="s">
        <v>42</v>
      </c>
      <c r="G1855" s="3">
        <v>2016</v>
      </c>
      <c r="H1855" s="3" t="str">
        <f>CONCATENATE("64240078564")</f>
        <v>64240078564</v>
      </c>
      <c r="I1855" s="3" t="s">
        <v>25</v>
      </c>
      <c r="J1855" s="3" t="s">
        <v>26</v>
      </c>
      <c r="K1855" s="3" t="str">
        <f t="shared" si="60"/>
        <v/>
      </c>
      <c r="L1855" s="3" t="str">
        <f>CONCATENATE("11 11.2 4b")</f>
        <v>11 11.2 4b</v>
      </c>
      <c r="M1855" s="3" t="str">
        <f>CONCATENATE("VLLBNR57C43H321L")</f>
        <v>VLLBNR57C43H321L</v>
      </c>
      <c r="N1855" s="3" t="s">
        <v>1868</v>
      </c>
      <c r="O1855" s="3"/>
      <c r="P1855" s="4">
        <v>42783</v>
      </c>
      <c r="Q1855" s="3" t="s">
        <v>27</v>
      </c>
      <c r="R1855" s="3" t="s">
        <v>28</v>
      </c>
      <c r="S1855" s="3" t="s">
        <v>29</v>
      </c>
      <c r="T1855" s="5">
        <v>2022.35</v>
      </c>
      <c r="U1855" s="3">
        <v>872.04</v>
      </c>
      <c r="V1855" s="3">
        <v>805.3</v>
      </c>
      <c r="W1855" s="3">
        <v>345.01</v>
      </c>
    </row>
    <row r="1856" spans="1:23" ht="36.75">
      <c r="A1856" s="3" t="s">
        <v>23</v>
      </c>
      <c r="B1856" s="3" t="s">
        <v>24</v>
      </c>
      <c r="C1856" s="3" t="s">
        <v>35</v>
      </c>
      <c r="D1856" s="3" t="s">
        <v>48</v>
      </c>
      <c r="E1856" s="3" t="s">
        <v>32</v>
      </c>
      <c r="F1856" s="3" t="s">
        <v>129</v>
      </c>
      <c r="G1856" s="3">
        <v>2016</v>
      </c>
      <c r="H1856" s="3" t="str">
        <f>CONCATENATE("64240488185")</f>
        <v>64240488185</v>
      </c>
      <c r="I1856" s="3" t="s">
        <v>25</v>
      </c>
      <c r="J1856" s="3" t="s">
        <v>26</v>
      </c>
      <c r="K1856" s="3" t="str">
        <f t="shared" si="60"/>
        <v/>
      </c>
      <c r="L1856" s="3" t="str">
        <f>CONCATENATE("11 11.1 4b")</f>
        <v>11 11.1 4b</v>
      </c>
      <c r="M1856" s="3" t="str">
        <f>CONCATENATE("01489120434")</f>
        <v>01489120434</v>
      </c>
      <c r="N1856" s="3" t="s">
        <v>1869</v>
      </c>
      <c r="O1856" s="3"/>
      <c r="P1856" s="4">
        <v>42783</v>
      </c>
      <c r="Q1856" s="3" t="s">
        <v>27</v>
      </c>
      <c r="R1856" s="3" t="s">
        <v>28</v>
      </c>
      <c r="S1856" s="3" t="s">
        <v>29</v>
      </c>
      <c r="T1856" s="5">
        <v>1132.1400000000001</v>
      </c>
      <c r="U1856" s="3">
        <v>488.18</v>
      </c>
      <c r="V1856" s="3">
        <v>450.82</v>
      </c>
      <c r="W1856" s="3">
        <v>193.14</v>
      </c>
    </row>
    <row r="1857" spans="1:23" ht="72.75">
      <c r="A1857" s="3" t="s">
        <v>23</v>
      </c>
      <c r="B1857" s="3" t="s">
        <v>24</v>
      </c>
      <c r="C1857" s="3" t="s">
        <v>35</v>
      </c>
      <c r="D1857" s="3" t="s">
        <v>48</v>
      </c>
      <c r="E1857" s="3" t="s">
        <v>30</v>
      </c>
      <c r="F1857" s="3" t="s">
        <v>91</v>
      </c>
      <c r="G1857" s="3">
        <v>2016</v>
      </c>
      <c r="H1857" s="3" t="str">
        <f>CONCATENATE("64240315552")</f>
        <v>64240315552</v>
      </c>
      <c r="I1857" s="3" t="s">
        <v>25</v>
      </c>
      <c r="J1857" s="3" t="s">
        <v>26</v>
      </c>
      <c r="K1857" s="3" t="str">
        <f t="shared" si="60"/>
        <v/>
      </c>
      <c r="L1857" s="3" t="str">
        <f>CONCATENATE("11 11.2 4b")</f>
        <v>11 11.2 4b</v>
      </c>
      <c r="M1857" s="3" t="str">
        <f>CONCATENATE("CCCNTN55D06B474O")</f>
        <v>CCCNTN55D06B474O</v>
      </c>
      <c r="N1857" s="3" t="s">
        <v>1870</v>
      </c>
      <c r="O1857" s="3"/>
      <c r="P1857" s="4">
        <v>42783</v>
      </c>
      <c r="Q1857" s="3" t="s">
        <v>27</v>
      </c>
      <c r="R1857" s="3" t="s">
        <v>28</v>
      </c>
      <c r="S1857" s="3" t="s">
        <v>29</v>
      </c>
      <c r="T1857" s="5">
        <v>4453.5200000000004</v>
      </c>
      <c r="U1857" s="5">
        <v>1920.36</v>
      </c>
      <c r="V1857" s="5">
        <v>1773.39</v>
      </c>
      <c r="W1857" s="3">
        <v>759.77</v>
      </c>
    </row>
    <row r="1858" spans="1:23" ht="60.75">
      <c r="A1858" s="3" t="s">
        <v>23</v>
      </c>
      <c r="B1858" s="3" t="s">
        <v>24</v>
      </c>
      <c r="C1858" s="3" t="s">
        <v>35</v>
      </c>
      <c r="D1858" s="3" t="s">
        <v>43</v>
      </c>
      <c r="E1858" s="3" t="s">
        <v>30</v>
      </c>
      <c r="F1858" s="3" t="s">
        <v>131</v>
      </c>
      <c r="G1858" s="3">
        <v>2016</v>
      </c>
      <c r="H1858" s="3" t="str">
        <f>CONCATENATE("64240209813")</f>
        <v>64240209813</v>
      </c>
      <c r="I1858" s="3" t="s">
        <v>25</v>
      </c>
      <c r="J1858" s="3" t="s">
        <v>26</v>
      </c>
      <c r="K1858" s="3" t="str">
        <f t="shared" si="60"/>
        <v/>
      </c>
      <c r="L1858" s="3" t="str">
        <f>CONCATENATE("11 11.1 4b")</f>
        <v>11 11.1 4b</v>
      </c>
      <c r="M1858" s="3" t="str">
        <f>CONCATENATE("CNCDVD47D18I670J")</f>
        <v>CNCDVD47D18I670J</v>
      </c>
      <c r="N1858" s="3" t="s">
        <v>1871</v>
      </c>
      <c r="O1858" s="3"/>
      <c r="P1858" s="4">
        <v>42783</v>
      </c>
      <c r="Q1858" s="3" t="s">
        <v>27</v>
      </c>
      <c r="R1858" s="3" t="s">
        <v>28</v>
      </c>
      <c r="S1858" s="3" t="s">
        <v>29</v>
      </c>
      <c r="T1858" s="5">
        <v>4013.51</v>
      </c>
      <c r="U1858" s="5">
        <v>1730.63</v>
      </c>
      <c r="V1858" s="5">
        <v>1598.18</v>
      </c>
      <c r="W1858" s="3">
        <v>684.7</v>
      </c>
    </row>
    <row r="1859" spans="1:23" ht="60.75">
      <c r="A1859" s="3" t="s">
        <v>23</v>
      </c>
      <c r="B1859" s="3" t="s">
        <v>24</v>
      </c>
      <c r="C1859" s="3" t="s">
        <v>35</v>
      </c>
      <c r="D1859" s="3" t="s">
        <v>48</v>
      </c>
      <c r="E1859" s="3" t="s">
        <v>30</v>
      </c>
      <c r="F1859" s="3" t="s">
        <v>91</v>
      </c>
      <c r="G1859" s="3">
        <v>2016</v>
      </c>
      <c r="H1859" s="3" t="str">
        <f>CONCATENATE("64240317541")</f>
        <v>64240317541</v>
      </c>
      <c r="I1859" s="3" t="s">
        <v>25</v>
      </c>
      <c r="J1859" s="3" t="s">
        <v>26</v>
      </c>
      <c r="K1859" s="3" t="str">
        <f t="shared" si="60"/>
        <v/>
      </c>
      <c r="L1859" s="3" t="str">
        <f>CONCATENATE("11 11.2 4b")</f>
        <v>11 11.2 4b</v>
      </c>
      <c r="M1859" s="3" t="str">
        <f>CONCATENATE("MDSLGN63C69Z133B")</f>
        <v>MDSLGN63C69Z133B</v>
      </c>
      <c r="N1859" s="3" t="s">
        <v>1872</v>
      </c>
      <c r="O1859" s="3"/>
      <c r="P1859" s="4">
        <v>42783</v>
      </c>
      <c r="Q1859" s="3" t="s">
        <v>27</v>
      </c>
      <c r="R1859" s="3" t="s">
        <v>28</v>
      </c>
      <c r="S1859" s="3" t="s">
        <v>29</v>
      </c>
      <c r="T1859" s="3">
        <v>438.79</v>
      </c>
      <c r="U1859" s="3">
        <v>189.21</v>
      </c>
      <c r="V1859" s="3">
        <v>174.73</v>
      </c>
      <c r="W1859" s="3">
        <v>74.849999999999994</v>
      </c>
    </row>
    <row r="1860" spans="1:23" ht="60.75">
      <c r="A1860" s="3" t="s">
        <v>23</v>
      </c>
      <c r="B1860" s="3" t="s">
        <v>24</v>
      </c>
      <c r="C1860" s="3" t="s">
        <v>35</v>
      </c>
      <c r="D1860" s="3" t="s">
        <v>48</v>
      </c>
      <c r="E1860" s="3" t="s">
        <v>42</v>
      </c>
      <c r="F1860" s="3" t="s">
        <v>42</v>
      </c>
      <c r="G1860" s="3">
        <v>2016</v>
      </c>
      <c r="H1860" s="3" t="str">
        <f>CONCATENATE("64240634366")</f>
        <v>64240634366</v>
      </c>
      <c r="I1860" s="3" t="s">
        <v>25</v>
      </c>
      <c r="J1860" s="3" t="s">
        <v>26</v>
      </c>
      <c r="K1860" s="3" t="str">
        <f t="shared" si="60"/>
        <v/>
      </c>
      <c r="L1860" s="3" t="str">
        <f>CONCATENATE("11 11.2 4b")</f>
        <v>11 11.2 4b</v>
      </c>
      <c r="M1860" s="3" t="str">
        <f>CONCATENATE("FRNGLL62E23F626N")</f>
        <v>FRNGLL62E23F626N</v>
      </c>
      <c r="N1860" s="3" t="s">
        <v>1873</v>
      </c>
      <c r="O1860" s="3"/>
      <c r="P1860" s="4">
        <v>42783</v>
      </c>
      <c r="Q1860" s="3" t="s">
        <v>27</v>
      </c>
      <c r="R1860" s="3" t="s">
        <v>28</v>
      </c>
      <c r="S1860" s="3" t="s">
        <v>29</v>
      </c>
      <c r="T1860" s="5">
        <v>3947.28</v>
      </c>
      <c r="U1860" s="5">
        <v>1702.07</v>
      </c>
      <c r="V1860" s="5">
        <v>1571.81</v>
      </c>
      <c r="W1860" s="3">
        <v>673.4</v>
      </c>
    </row>
    <row r="1861" spans="1:23" ht="60.75">
      <c r="A1861" s="3" t="s">
        <v>23</v>
      </c>
      <c r="B1861" s="3" t="s">
        <v>24</v>
      </c>
      <c r="C1861" s="3" t="s">
        <v>35</v>
      </c>
      <c r="D1861" s="3" t="s">
        <v>36</v>
      </c>
      <c r="E1861" s="3" t="s">
        <v>30</v>
      </c>
      <c r="F1861" s="3" t="s">
        <v>37</v>
      </c>
      <c r="G1861" s="3">
        <v>2016</v>
      </c>
      <c r="H1861" s="3" t="str">
        <f>CONCATENATE("64210623761")</f>
        <v>64210623761</v>
      </c>
      <c r="I1861" s="3" t="s">
        <v>25</v>
      </c>
      <c r="J1861" s="3" t="s">
        <v>26</v>
      </c>
      <c r="K1861" s="3" t="str">
        <f t="shared" si="60"/>
        <v/>
      </c>
      <c r="L1861" s="3" t="str">
        <f>CONCATENATE("13 13.1 4a")</f>
        <v>13 13.1 4a</v>
      </c>
      <c r="M1861" s="3" t="str">
        <f>CONCATENATE("VNRSNT46S19D691I")</f>
        <v>VNRSNT46S19D691I</v>
      </c>
      <c r="N1861" s="3" t="s">
        <v>1874</v>
      </c>
      <c r="O1861" s="3"/>
      <c r="P1861" s="4">
        <v>42783</v>
      </c>
      <c r="Q1861" s="3" t="s">
        <v>27</v>
      </c>
      <c r="R1861" s="3" t="s">
        <v>28</v>
      </c>
      <c r="S1861" s="3" t="s">
        <v>29</v>
      </c>
      <c r="T1861" s="5">
        <v>3452.52</v>
      </c>
      <c r="U1861" s="5">
        <v>1488.73</v>
      </c>
      <c r="V1861" s="5">
        <v>1374.79</v>
      </c>
      <c r="W1861" s="3">
        <v>589</v>
      </c>
    </row>
    <row r="1862" spans="1:23" ht="60.75">
      <c r="A1862" s="3" t="s">
        <v>23</v>
      </c>
      <c r="B1862" s="3" t="s">
        <v>24</v>
      </c>
      <c r="C1862" s="3" t="s">
        <v>35</v>
      </c>
      <c r="D1862" s="3" t="s">
        <v>48</v>
      </c>
      <c r="E1862" s="3" t="s">
        <v>30</v>
      </c>
      <c r="F1862" s="3" t="s">
        <v>57</v>
      </c>
      <c r="G1862" s="3">
        <v>2016</v>
      </c>
      <c r="H1862" s="3" t="str">
        <f>CONCATENATE("64240537072")</f>
        <v>64240537072</v>
      </c>
      <c r="I1862" s="3" t="s">
        <v>25</v>
      </c>
      <c r="J1862" s="3" t="s">
        <v>26</v>
      </c>
      <c r="K1862" s="3" t="str">
        <f t="shared" si="60"/>
        <v/>
      </c>
      <c r="L1862" s="3" t="str">
        <f>CONCATENATE("11 11.2 4b")</f>
        <v>11 11.2 4b</v>
      </c>
      <c r="M1862" s="3" t="str">
        <f>CONCATENATE("MCCRNN56D07C582Q")</f>
        <v>MCCRNN56D07C582Q</v>
      </c>
      <c r="N1862" s="3" t="s">
        <v>1875</v>
      </c>
      <c r="O1862" s="3"/>
      <c r="P1862" s="4">
        <v>42783</v>
      </c>
      <c r="Q1862" s="3" t="s">
        <v>27</v>
      </c>
      <c r="R1862" s="3" t="s">
        <v>28</v>
      </c>
      <c r="S1862" s="3" t="s">
        <v>29</v>
      </c>
      <c r="T1862" s="5">
        <v>3794.38</v>
      </c>
      <c r="U1862" s="5">
        <v>1636.14</v>
      </c>
      <c r="V1862" s="5">
        <v>1510.92</v>
      </c>
      <c r="W1862" s="3">
        <v>647.32000000000005</v>
      </c>
    </row>
    <row r="1863" spans="1:23" ht="60.75">
      <c r="A1863" s="3" t="s">
        <v>23</v>
      </c>
      <c r="B1863" s="3" t="s">
        <v>24</v>
      </c>
      <c r="C1863" s="3" t="s">
        <v>35</v>
      </c>
      <c r="D1863" s="3" t="s">
        <v>48</v>
      </c>
      <c r="E1863" s="3" t="s">
        <v>49</v>
      </c>
      <c r="F1863" s="3" t="s">
        <v>50</v>
      </c>
      <c r="G1863" s="3">
        <v>2016</v>
      </c>
      <c r="H1863" s="3" t="str">
        <f>CONCATENATE("64240692901")</f>
        <v>64240692901</v>
      </c>
      <c r="I1863" s="3" t="s">
        <v>25</v>
      </c>
      <c r="J1863" s="3" t="s">
        <v>26</v>
      </c>
      <c r="K1863" s="3" t="str">
        <f t="shared" si="60"/>
        <v/>
      </c>
      <c r="L1863" s="3" t="str">
        <f>CONCATENATE("11 11.2 4b")</f>
        <v>11 11.2 4b</v>
      </c>
      <c r="M1863" s="3" t="str">
        <f>CONCATENATE("MLSMRA49H49G482T")</f>
        <v>MLSMRA49H49G482T</v>
      </c>
      <c r="N1863" s="3" t="s">
        <v>1876</v>
      </c>
      <c r="O1863" s="3"/>
      <c r="P1863" s="4">
        <v>42783</v>
      </c>
      <c r="Q1863" s="3" t="s">
        <v>27</v>
      </c>
      <c r="R1863" s="3" t="s">
        <v>28</v>
      </c>
      <c r="S1863" s="3" t="s">
        <v>29</v>
      </c>
      <c r="T1863" s="5">
        <v>1162.73</v>
      </c>
      <c r="U1863" s="3">
        <v>501.37</v>
      </c>
      <c r="V1863" s="3">
        <v>463</v>
      </c>
      <c r="W1863" s="3">
        <v>198.36</v>
      </c>
    </row>
    <row r="1864" spans="1:23" ht="60.75">
      <c r="A1864" s="3" t="s">
        <v>23</v>
      </c>
      <c r="B1864" s="3" t="s">
        <v>24</v>
      </c>
      <c r="C1864" s="3" t="s">
        <v>35</v>
      </c>
      <c r="D1864" s="3" t="s">
        <v>36</v>
      </c>
      <c r="E1864" s="3" t="s">
        <v>30</v>
      </c>
      <c r="F1864" s="3" t="s">
        <v>257</v>
      </c>
      <c r="G1864" s="3">
        <v>2016</v>
      </c>
      <c r="H1864" s="3" t="str">
        <f>CONCATENATE("64240459962")</f>
        <v>64240459962</v>
      </c>
      <c r="I1864" s="3" t="s">
        <v>25</v>
      </c>
      <c r="J1864" s="3" t="s">
        <v>26</v>
      </c>
      <c r="K1864" s="3" t="str">
        <f t="shared" si="60"/>
        <v/>
      </c>
      <c r="L1864" s="3" t="str">
        <f>CONCATENATE("11 11.2 4b")</f>
        <v>11 11.2 4b</v>
      </c>
      <c r="M1864" s="3" t="str">
        <f>CONCATENATE("PLZNDR65C02F520V")</f>
        <v>PLZNDR65C02F520V</v>
      </c>
      <c r="N1864" s="3" t="s">
        <v>1877</v>
      </c>
      <c r="O1864" s="3"/>
      <c r="P1864" s="4">
        <v>42783</v>
      </c>
      <c r="Q1864" s="3" t="s">
        <v>27</v>
      </c>
      <c r="R1864" s="3" t="s">
        <v>28</v>
      </c>
      <c r="S1864" s="3" t="s">
        <v>29</v>
      </c>
      <c r="T1864" s="5">
        <v>11562.78</v>
      </c>
      <c r="U1864" s="5">
        <v>4985.87</v>
      </c>
      <c r="V1864" s="5">
        <v>4604.3</v>
      </c>
      <c r="W1864" s="5">
        <v>1972.61</v>
      </c>
    </row>
    <row r="1865" spans="1:23" ht="60.75">
      <c r="A1865" s="3" t="s">
        <v>23</v>
      </c>
      <c r="B1865" s="3" t="s">
        <v>24</v>
      </c>
      <c r="C1865" s="3" t="s">
        <v>35</v>
      </c>
      <c r="D1865" s="3" t="s">
        <v>48</v>
      </c>
      <c r="E1865" s="3" t="s">
        <v>30</v>
      </c>
      <c r="F1865" s="3" t="s">
        <v>157</v>
      </c>
      <c r="G1865" s="3">
        <v>2016</v>
      </c>
      <c r="H1865" s="3" t="str">
        <f>CONCATENATE("64210421448")</f>
        <v>64210421448</v>
      </c>
      <c r="I1865" s="3" t="s">
        <v>25</v>
      </c>
      <c r="J1865" s="3" t="s">
        <v>26</v>
      </c>
      <c r="K1865" s="3" t="str">
        <f t="shared" si="60"/>
        <v/>
      </c>
      <c r="L1865" s="3" t="str">
        <f>CONCATENATE("13 13.1 4a")</f>
        <v>13 13.1 4a</v>
      </c>
      <c r="M1865" s="3" t="str">
        <f>CONCATENATE("NTNMRA80P13L191Z")</f>
        <v>NTNMRA80P13L191Z</v>
      </c>
      <c r="N1865" s="3" t="s">
        <v>689</v>
      </c>
      <c r="O1865" s="3"/>
      <c r="P1865" s="4">
        <v>42783</v>
      </c>
      <c r="Q1865" s="3" t="s">
        <v>27</v>
      </c>
      <c r="R1865" s="3" t="s">
        <v>28</v>
      </c>
      <c r="S1865" s="3" t="s">
        <v>29</v>
      </c>
      <c r="T1865" s="5">
        <v>2566.06</v>
      </c>
      <c r="U1865" s="5">
        <v>1106.49</v>
      </c>
      <c r="V1865" s="5">
        <v>1021.81</v>
      </c>
      <c r="W1865" s="3">
        <v>437.76</v>
      </c>
    </row>
    <row r="1866" spans="1:23" ht="60.75">
      <c r="A1866" s="3" t="s">
        <v>23</v>
      </c>
      <c r="B1866" s="3" t="s">
        <v>24</v>
      </c>
      <c r="C1866" s="3" t="s">
        <v>35</v>
      </c>
      <c r="D1866" s="3" t="s">
        <v>48</v>
      </c>
      <c r="E1866" s="3" t="s">
        <v>33</v>
      </c>
      <c r="F1866" s="3" t="s">
        <v>358</v>
      </c>
      <c r="G1866" s="3">
        <v>2016</v>
      </c>
      <c r="H1866" s="3" t="str">
        <f>CONCATENATE("64211115510")</f>
        <v>64211115510</v>
      </c>
      <c r="I1866" s="3" t="s">
        <v>25</v>
      </c>
      <c r="J1866" s="3" t="s">
        <v>26</v>
      </c>
      <c r="K1866" s="3" t="str">
        <f t="shared" si="60"/>
        <v/>
      </c>
      <c r="L1866" s="3" t="str">
        <f>CONCATENATE("13 13.1 4a")</f>
        <v>13 13.1 4a</v>
      </c>
      <c r="M1866" s="3" t="str">
        <f>CONCATENATE("CRRLRD55A22G637P")</f>
        <v>CRRLRD55A22G637P</v>
      </c>
      <c r="N1866" s="3" t="s">
        <v>1878</v>
      </c>
      <c r="O1866" s="3"/>
      <c r="P1866" s="4">
        <v>42783</v>
      </c>
      <c r="Q1866" s="3" t="s">
        <v>27</v>
      </c>
      <c r="R1866" s="3" t="s">
        <v>28</v>
      </c>
      <c r="S1866" s="3" t="s">
        <v>29</v>
      </c>
      <c r="T1866" s="5">
        <v>1259.07</v>
      </c>
      <c r="U1866" s="3">
        <v>542.91</v>
      </c>
      <c r="V1866" s="3">
        <v>501.36</v>
      </c>
      <c r="W1866" s="3">
        <v>214.8</v>
      </c>
    </row>
    <row r="1867" spans="1:23" ht="60.75">
      <c r="A1867" s="3" t="s">
        <v>23</v>
      </c>
      <c r="B1867" s="3" t="s">
        <v>24</v>
      </c>
      <c r="C1867" s="3" t="s">
        <v>35</v>
      </c>
      <c r="D1867" s="3" t="s">
        <v>39</v>
      </c>
      <c r="E1867" s="3" t="s">
        <v>100</v>
      </c>
      <c r="F1867" s="3" t="s">
        <v>101</v>
      </c>
      <c r="G1867" s="3">
        <v>2016</v>
      </c>
      <c r="H1867" s="3" t="str">
        <f>CONCATENATE("64210861411")</f>
        <v>64210861411</v>
      </c>
      <c r="I1867" s="3" t="s">
        <v>25</v>
      </c>
      <c r="J1867" s="3" t="s">
        <v>26</v>
      </c>
      <c r="K1867" s="3" t="str">
        <f t="shared" si="60"/>
        <v/>
      </c>
      <c r="L1867" s="3" t="str">
        <f>CONCATENATE("13 13.1 4a")</f>
        <v>13 13.1 4a</v>
      </c>
      <c r="M1867" s="3" t="str">
        <f>CONCATENATE("RBNMLR55P50B352D")</f>
        <v>RBNMLR55P50B352D</v>
      </c>
      <c r="N1867" s="3" t="s">
        <v>352</v>
      </c>
      <c r="O1867" s="3"/>
      <c r="P1867" s="4">
        <v>42783</v>
      </c>
      <c r="Q1867" s="3" t="s">
        <v>27</v>
      </c>
      <c r="R1867" s="3" t="s">
        <v>28</v>
      </c>
      <c r="S1867" s="3" t="s">
        <v>29</v>
      </c>
      <c r="T1867" s="5">
        <v>3855.76</v>
      </c>
      <c r="U1867" s="5">
        <v>1662.6</v>
      </c>
      <c r="V1867" s="5">
        <v>1535.36</v>
      </c>
      <c r="W1867" s="3">
        <v>657.8</v>
      </c>
    </row>
    <row r="1868" spans="1:23" ht="60.75">
      <c r="A1868" s="3" t="s">
        <v>23</v>
      </c>
      <c r="B1868" s="3" t="s">
        <v>24</v>
      </c>
      <c r="C1868" s="3" t="s">
        <v>35</v>
      </c>
      <c r="D1868" s="3" t="s">
        <v>39</v>
      </c>
      <c r="E1868" s="3" t="s">
        <v>30</v>
      </c>
      <c r="F1868" s="3" t="s">
        <v>72</v>
      </c>
      <c r="G1868" s="3">
        <v>2016</v>
      </c>
      <c r="H1868" s="3" t="str">
        <f>CONCATENATE("64240366696")</f>
        <v>64240366696</v>
      </c>
      <c r="I1868" s="3" t="s">
        <v>25</v>
      </c>
      <c r="J1868" s="3" t="s">
        <v>26</v>
      </c>
      <c r="K1868" s="3" t="str">
        <f t="shared" si="60"/>
        <v/>
      </c>
      <c r="L1868" s="3" t="str">
        <f>CONCATENATE("11 11.2 4b")</f>
        <v>11 11.2 4b</v>
      </c>
      <c r="M1868" s="3" t="str">
        <f>CONCATENATE("CVLNTN59L24L219P")</f>
        <v>CVLNTN59L24L219P</v>
      </c>
      <c r="N1868" s="3" t="s">
        <v>1879</v>
      </c>
      <c r="O1868" s="3"/>
      <c r="P1868" s="4">
        <v>42783</v>
      </c>
      <c r="Q1868" s="3" t="s">
        <v>27</v>
      </c>
      <c r="R1868" s="3" t="s">
        <v>28</v>
      </c>
      <c r="S1868" s="3" t="s">
        <v>29</v>
      </c>
      <c r="T1868" s="3">
        <v>546.16</v>
      </c>
      <c r="U1868" s="3">
        <v>235.5</v>
      </c>
      <c r="V1868" s="3">
        <v>217.48</v>
      </c>
      <c r="W1868" s="3">
        <v>93.18</v>
      </c>
    </row>
    <row r="1869" spans="1:23" ht="36.75">
      <c r="A1869" s="3" t="s">
        <v>23</v>
      </c>
      <c r="B1869" s="3" t="s">
        <v>24</v>
      </c>
      <c r="C1869" s="3" t="s">
        <v>35</v>
      </c>
      <c r="D1869" s="3" t="s">
        <v>36</v>
      </c>
      <c r="E1869" s="3" t="s">
        <v>32</v>
      </c>
      <c r="F1869" s="3" t="s">
        <v>208</v>
      </c>
      <c r="G1869" s="3">
        <v>2016</v>
      </c>
      <c r="H1869" s="3" t="str">
        <f>CONCATENATE("64240398830")</f>
        <v>64240398830</v>
      </c>
      <c r="I1869" s="3" t="s">
        <v>25</v>
      </c>
      <c r="J1869" s="3" t="s">
        <v>26</v>
      </c>
      <c r="K1869" s="3" t="str">
        <f t="shared" si="60"/>
        <v/>
      </c>
      <c r="L1869" s="3" t="str">
        <f>CONCATENATE("11 11.2 4b")</f>
        <v>11 11.2 4b</v>
      </c>
      <c r="M1869" s="3" t="str">
        <f>CONCATENATE("02068010442")</f>
        <v>02068010442</v>
      </c>
      <c r="N1869" s="3" t="s">
        <v>1880</v>
      </c>
      <c r="O1869" s="3"/>
      <c r="P1869" s="4">
        <v>42783</v>
      </c>
      <c r="Q1869" s="3" t="s">
        <v>27</v>
      </c>
      <c r="R1869" s="3" t="s">
        <v>28</v>
      </c>
      <c r="S1869" s="3" t="s">
        <v>29</v>
      </c>
      <c r="T1869" s="3">
        <v>803.92</v>
      </c>
      <c r="U1869" s="3">
        <v>346.65</v>
      </c>
      <c r="V1869" s="3">
        <v>320.12</v>
      </c>
      <c r="W1869" s="3">
        <v>137.15</v>
      </c>
    </row>
    <row r="1870" spans="1:23" ht="60.75">
      <c r="A1870" s="3" t="s">
        <v>23</v>
      </c>
      <c r="B1870" s="3" t="s">
        <v>24</v>
      </c>
      <c r="C1870" s="3" t="s">
        <v>35</v>
      </c>
      <c r="D1870" s="3" t="s">
        <v>48</v>
      </c>
      <c r="E1870" s="3" t="s">
        <v>30</v>
      </c>
      <c r="F1870" s="3" t="s">
        <v>57</v>
      </c>
      <c r="G1870" s="3">
        <v>2016</v>
      </c>
      <c r="H1870" s="3" t="str">
        <f>CONCATENATE("64240388146")</f>
        <v>64240388146</v>
      </c>
      <c r="I1870" s="3" t="s">
        <v>25</v>
      </c>
      <c r="J1870" s="3" t="s">
        <v>26</v>
      </c>
      <c r="K1870" s="3" t="str">
        <f t="shared" si="60"/>
        <v/>
      </c>
      <c r="L1870" s="3" t="str">
        <f>CONCATENATE("11 11.2 4b")</f>
        <v>11 11.2 4b</v>
      </c>
      <c r="M1870" s="3" t="str">
        <f>CONCATENATE("FRCVCN71C69L191O")</f>
        <v>FRCVCN71C69L191O</v>
      </c>
      <c r="N1870" s="3" t="s">
        <v>1881</v>
      </c>
      <c r="O1870" s="3"/>
      <c r="P1870" s="4">
        <v>42783</v>
      </c>
      <c r="Q1870" s="3" t="s">
        <v>27</v>
      </c>
      <c r="R1870" s="3" t="s">
        <v>28</v>
      </c>
      <c r="S1870" s="3" t="s">
        <v>29</v>
      </c>
      <c r="T1870" s="5">
        <v>1684.15</v>
      </c>
      <c r="U1870" s="3">
        <v>726.21</v>
      </c>
      <c r="V1870" s="3">
        <v>670.63</v>
      </c>
      <c r="W1870" s="3">
        <v>287.31</v>
      </c>
    </row>
    <row r="1871" spans="1:23" ht="36.75">
      <c r="A1871" s="3" t="s">
        <v>23</v>
      </c>
      <c r="B1871" s="3" t="s">
        <v>24</v>
      </c>
      <c r="C1871" s="3" t="s">
        <v>35</v>
      </c>
      <c r="D1871" s="3" t="s">
        <v>43</v>
      </c>
      <c r="E1871" s="3" t="s">
        <v>30</v>
      </c>
      <c r="F1871" s="3" t="s">
        <v>76</v>
      </c>
      <c r="G1871" s="3">
        <v>2016</v>
      </c>
      <c r="H1871" s="3" t="str">
        <f>CONCATENATE("64210106197")</f>
        <v>64210106197</v>
      </c>
      <c r="I1871" s="3" t="s">
        <v>25</v>
      </c>
      <c r="J1871" s="3" t="s">
        <v>26</v>
      </c>
      <c r="K1871" s="3" t="str">
        <f t="shared" si="60"/>
        <v/>
      </c>
      <c r="L1871" s="3" t="str">
        <f>CONCATENATE("13 13.1 4a")</f>
        <v>13 13.1 4a</v>
      </c>
      <c r="M1871" s="3" t="str">
        <f>CONCATENATE("02010570410")</f>
        <v>02010570410</v>
      </c>
      <c r="N1871" s="3" t="s">
        <v>417</v>
      </c>
      <c r="O1871" s="3"/>
      <c r="P1871" s="4">
        <v>42783</v>
      </c>
      <c r="Q1871" s="3" t="s">
        <v>27</v>
      </c>
      <c r="R1871" s="3" t="s">
        <v>28</v>
      </c>
      <c r="S1871" s="3" t="s">
        <v>29</v>
      </c>
      <c r="T1871" s="5">
        <v>4590</v>
      </c>
      <c r="U1871" s="5">
        <v>1979.21</v>
      </c>
      <c r="V1871" s="5">
        <v>1827.74</v>
      </c>
      <c r="W1871" s="3">
        <v>783.05</v>
      </c>
    </row>
    <row r="1872" spans="1:23" ht="36.75">
      <c r="A1872" s="3" t="s">
        <v>23</v>
      </c>
      <c r="B1872" s="3" t="s">
        <v>24</v>
      </c>
      <c r="C1872" s="3" t="s">
        <v>35</v>
      </c>
      <c r="D1872" s="3" t="s">
        <v>48</v>
      </c>
      <c r="E1872" s="3" t="s">
        <v>30</v>
      </c>
      <c r="F1872" s="3" t="s">
        <v>40</v>
      </c>
      <c r="G1872" s="3">
        <v>2016</v>
      </c>
      <c r="H1872" s="3" t="str">
        <f>CONCATENATE("64240527842")</f>
        <v>64240527842</v>
      </c>
      <c r="I1872" s="3" t="s">
        <v>25</v>
      </c>
      <c r="J1872" s="3" t="s">
        <v>26</v>
      </c>
      <c r="K1872" s="3" t="str">
        <f t="shared" si="60"/>
        <v/>
      </c>
      <c r="L1872" s="3" t="str">
        <f>CONCATENATE("11 11.2 4b")</f>
        <v>11 11.2 4b</v>
      </c>
      <c r="M1872" s="3" t="str">
        <f>CONCATENATE("01808070435")</f>
        <v>01808070435</v>
      </c>
      <c r="N1872" s="3" t="s">
        <v>1882</v>
      </c>
      <c r="O1872" s="3"/>
      <c r="P1872" s="4">
        <v>42783</v>
      </c>
      <c r="Q1872" s="3" t="s">
        <v>27</v>
      </c>
      <c r="R1872" s="3" t="s">
        <v>28</v>
      </c>
      <c r="S1872" s="3" t="s">
        <v>29</v>
      </c>
      <c r="T1872" s="5">
        <v>5630.07</v>
      </c>
      <c r="U1872" s="5">
        <v>2427.69</v>
      </c>
      <c r="V1872" s="5">
        <v>2241.89</v>
      </c>
      <c r="W1872" s="3">
        <v>960.49</v>
      </c>
    </row>
    <row r="1873" spans="1:23" ht="72.75">
      <c r="A1873" s="3" t="s">
        <v>23</v>
      </c>
      <c r="B1873" s="3" t="s">
        <v>24</v>
      </c>
      <c r="C1873" s="3" t="s">
        <v>35</v>
      </c>
      <c r="D1873" s="3" t="s">
        <v>39</v>
      </c>
      <c r="E1873" s="3" t="s">
        <v>30</v>
      </c>
      <c r="F1873" s="3" t="s">
        <v>84</v>
      </c>
      <c r="G1873" s="3">
        <v>2016</v>
      </c>
      <c r="H1873" s="3" t="str">
        <f>CONCATENATE("64240243416")</f>
        <v>64240243416</v>
      </c>
      <c r="I1873" s="3" t="s">
        <v>25</v>
      </c>
      <c r="J1873" s="3" t="s">
        <v>26</v>
      </c>
      <c r="K1873" s="3" t="str">
        <f t="shared" si="60"/>
        <v/>
      </c>
      <c r="L1873" s="3" t="str">
        <f>CONCATENATE("11 11.2 4b")</f>
        <v>11 11.2 4b</v>
      </c>
      <c r="M1873" s="3" t="str">
        <f>CONCATENATE("BLTGMM65T56A237K")</f>
        <v>BLTGMM65T56A237K</v>
      </c>
      <c r="N1873" s="3" t="s">
        <v>1883</v>
      </c>
      <c r="O1873" s="3"/>
      <c r="P1873" s="4">
        <v>42783</v>
      </c>
      <c r="Q1873" s="3" t="s">
        <v>27</v>
      </c>
      <c r="R1873" s="3" t="s">
        <v>28</v>
      </c>
      <c r="S1873" s="3" t="s">
        <v>29</v>
      </c>
      <c r="T1873" s="5">
        <v>1382.7</v>
      </c>
      <c r="U1873" s="3">
        <v>596.22</v>
      </c>
      <c r="V1873" s="3">
        <v>550.59</v>
      </c>
      <c r="W1873" s="3">
        <v>235.89</v>
      </c>
    </row>
    <row r="1874" spans="1:23" ht="60.75">
      <c r="A1874" s="3" t="s">
        <v>23</v>
      </c>
      <c r="B1874" s="3" t="s">
        <v>24</v>
      </c>
      <c r="C1874" s="3" t="s">
        <v>35</v>
      </c>
      <c r="D1874" s="3" t="s">
        <v>48</v>
      </c>
      <c r="E1874" s="3" t="s">
        <v>30</v>
      </c>
      <c r="F1874" s="3" t="s">
        <v>236</v>
      </c>
      <c r="G1874" s="3">
        <v>2016</v>
      </c>
      <c r="H1874" s="3" t="str">
        <f>CONCATENATE("64240646063")</f>
        <v>64240646063</v>
      </c>
      <c r="I1874" s="3" t="s">
        <v>25</v>
      </c>
      <c r="J1874" s="3" t="s">
        <v>26</v>
      </c>
      <c r="K1874" s="3" t="str">
        <f t="shared" ref="K1874:K1937" si="61">CONCATENATE("")</f>
        <v/>
      </c>
      <c r="L1874" s="3" t="str">
        <f>CONCATENATE("11 11.2 4b")</f>
        <v>11 11.2 4b</v>
      </c>
      <c r="M1874" s="3" t="str">
        <f>CONCATENATE("PRSRFL39R22A329E")</f>
        <v>PRSRFL39R22A329E</v>
      </c>
      <c r="N1874" s="3" t="s">
        <v>1884</v>
      </c>
      <c r="O1874" s="3"/>
      <c r="P1874" s="4">
        <v>42783</v>
      </c>
      <c r="Q1874" s="3" t="s">
        <v>27</v>
      </c>
      <c r="R1874" s="3" t="s">
        <v>28</v>
      </c>
      <c r="S1874" s="3" t="s">
        <v>29</v>
      </c>
      <c r="T1874" s="5">
        <v>7307.51</v>
      </c>
      <c r="U1874" s="5">
        <v>3151</v>
      </c>
      <c r="V1874" s="5">
        <v>2909.85</v>
      </c>
      <c r="W1874" s="5">
        <v>1246.6600000000001</v>
      </c>
    </row>
    <row r="1875" spans="1:23" ht="60.75">
      <c r="A1875" s="3" t="s">
        <v>23</v>
      </c>
      <c r="B1875" s="3" t="s">
        <v>24</v>
      </c>
      <c r="C1875" s="3" t="s">
        <v>35</v>
      </c>
      <c r="D1875" s="3" t="s">
        <v>36</v>
      </c>
      <c r="E1875" s="3" t="s">
        <v>33</v>
      </c>
      <c r="F1875" s="3" t="s">
        <v>89</v>
      </c>
      <c r="G1875" s="3">
        <v>2016</v>
      </c>
      <c r="H1875" s="3" t="str">
        <f>CONCATENATE("64210611857")</f>
        <v>64210611857</v>
      </c>
      <c r="I1875" s="3" t="s">
        <v>25</v>
      </c>
      <c r="J1875" s="3" t="s">
        <v>26</v>
      </c>
      <c r="K1875" s="3" t="str">
        <f t="shared" si="61"/>
        <v/>
      </c>
      <c r="L1875" s="3" t="str">
        <f>CONCATENATE("13 13.1 4a")</f>
        <v>13 13.1 4a</v>
      </c>
      <c r="M1875" s="3" t="str">
        <f>CONCATENATE("MSSDNY77S06D542P")</f>
        <v>MSSDNY77S06D542P</v>
      </c>
      <c r="N1875" s="3" t="s">
        <v>1885</v>
      </c>
      <c r="O1875" s="3"/>
      <c r="P1875" s="4">
        <v>42783</v>
      </c>
      <c r="Q1875" s="3" t="s">
        <v>27</v>
      </c>
      <c r="R1875" s="3" t="s">
        <v>28</v>
      </c>
      <c r="S1875" s="3" t="s">
        <v>29</v>
      </c>
      <c r="T1875" s="3">
        <v>669.34</v>
      </c>
      <c r="U1875" s="3">
        <v>288.62</v>
      </c>
      <c r="V1875" s="3">
        <v>266.52999999999997</v>
      </c>
      <c r="W1875" s="3">
        <v>114.19</v>
      </c>
    </row>
    <row r="1876" spans="1:23" ht="60.75">
      <c r="A1876" s="3" t="s">
        <v>23</v>
      </c>
      <c r="B1876" s="3" t="s">
        <v>24</v>
      </c>
      <c r="C1876" s="3" t="s">
        <v>35</v>
      </c>
      <c r="D1876" s="3" t="s">
        <v>39</v>
      </c>
      <c r="E1876" s="3" t="s">
        <v>32</v>
      </c>
      <c r="F1876" s="3" t="s">
        <v>117</v>
      </c>
      <c r="G1876" s="3">
        <v>2016</v>
      </c>
      <c r="H1876" s="3" t="str">
        <f>CONCATENATE("64240410320")</f>
        <v>64240410320</v>
      </c>
      <c r="I1876" s="3" t="s">
        <v>25</v>
      </c>
      <c r="J1876" s="3" t="s">
        <v>26</v>
      </c>
      <c r="K1876" s="3" t="str">
        <f t="shared" si="61"/>
        <v/>
      </c>
      <c r="L1876" s="3" t="str">
        <f>CONCATENATE("11 11.1 4b")</f>
        <v>11 11.1 4b</v>
      </c>
      <c r="M1876" s="3" t="str">
        <f>CONCATENATE("PCNCST95M29I608L")</f>
        <v>PCNCST95M29I608L</v>
      </c>
      <c r="N1876" s="3" t="s">
        <v>1886</v>
      </c>
      <c r="O1876" s="3"/>
      <c r="P1876" s="4">
        <v>42783</v>
      </c>
      <c r="Q1876" s="3" t="s">
        <v>27</v>
      </c>
      <c r="R1876" s="3" t="s">
        <v>28</v>
      </c>
      <c r="S1876" s="3" t="s">
        <v>29</v>
      </c>
      <c r="T1876" s="5">
        <v>2070.3200000000002</v>
      </c>
      <c r="U1876" s="3">
        <v>892.72</v>
      </c>
      <c r="V1876" s="3">
        <v>824.4</v>
      </c>
      <c r="W1876" s="3">
        <v>353.2</v>
      </c>
    </row>
    <row r="1877" spans="1:23" ht="72.75">
      <c r="A1877" s="3" t="s">
        <v>23</v>
      </c>
      <c r="B1877" s="3" t="s">
        <v>24</v>
      </c>
      <c r="C1877" s="3" t="s">
        <v>35</v>
      </c>
      <c r="D1877" s="3" t="s">
        <v>48</v>
      </c>
      <c r="E1877" s="3" t="s">
        <v>32</v>
      </c>
      <c r="F1877" s="3" t="s">
        <v>129</v>
      </c>
      <c r="G1877" s="3">
        <v>2016</v>
      </c>
      <c r="H1877" s="3" t="str">
        <f>CONCATENATE("64240315123")</f>
        <v>64240315123</v>
      </c>
      <c r="I1877" s="3" t="s">
        <v>25</v>
      </c>
      <c r="J1877" s="3" t="s">
        <v>26</v>
      </c>
      <c r="K1877" s="3" t="str">
        <f t="shared" si="61"/>
        <v/>
      </c>
      <c r="L1877" s="3" t="str">
        <f>CONCATENATE("11 11.1 4b")</f>
        <v>11 11.1 4b</v>
      </c>
      <c r="M1877" s="3" t="str">
        <f>CONCATENATE("FRNGNN52R30G157O")</f>
        <v>FRNGNN52R30G157O</v>
      </c>
      <c r="N1877" s="3" t="s">
        <v>1887</v>
      </c>
      <c r="O1877" s="3"/>
      <c r="P1877" s="4">
        <v>42783</v>
      </c>
      <c r="Q1877" s="3" t="s">
        <v>27</v>
      </c>
      <c r="R1877" s="3" t="s">
        <v>28</v>
      </c>
      <c r="S1877" s="3" t="s">
        <v>29</v>
      </c>
      <c r="T1877" s="5">
        <v>1518.56</v>
      </c>
      <c r="U1877" s="3">
        <v>654.79999999999995</v>
      </c>
      <c r="V1877" s="3">
        <v>604.69000000000005</v>
      </c>
      <c r="W1877" s="3">
        <v>259.07</v>
      </c>
    </row>
    <row r="1878" spans="1:23" ht="60.75">
      <c r="A1878" s="3" t="s">
        <v>23</v>
      </c>
      <c r="B1878" s="3" t="s">
        <v>24</v>
      </c>
      <c r="C1878" s="3" t="s">
        <v>35</v>
      </c>
      <c r="D1878" s="3" t="s">
        <v>36</v>
      </c>
      <c r="E1878" s="3" t="s">
        <v>32</v>
      </c>
      <c r="F1878" s="3" t="s">
        <v>208</v>
      </c>
      <c r="G1878" s="3">
        <v>2016</v>
      </c>
      <c r="H1878" s="3" t="str">
        <f>CONCATENATE("64240372082")</f>
        <v>64240372082</v>
      </c>
      <c r="I1878" s="3" t="s">
        <v>25</v>
      </c>
      <c r="J1878" s="3" t="s">
        <v>26</v>
      </c>
      <c r="K1878" s="3" t="str">
        <f t="shared" si="61"/>
        <v/>
      </c>
      <c r="L1878" s="3" t="str">
        <f>CONCATENATE("11 11.2 4b")</f>
        <v>11 11.2 4b</v>
      </c>
      <c r="M1878" s="3" t="str">
        <f>CONCATENATE("NNINNG69C47I054I")</f>
        <v>NNINNG69C47I054I</v>
      </c>
      <c r="N1878" s="3" t="s">
        <v>1888</v>
      </c>
      <c r="O1878" s="3"/>
      <c r="P1878" s="4">
        <v>42783</v>
      </c>
      <c r="Q1878" s="3" t="s">
        <v>27</v>
      </c>
      <c r="R1878" s="3" t="s">
        <v>28</v>
      </c>
      <c r="S1878" s="3" t="s">
        <v>29</v>
      </c>
      <c r="T1878" s="5">
        <v>3271.86</v>
      </c>
      <c r="U1878" s="5">
        <v>1410.83</v>
      </c>
      <c r="V1878" s="5">
        <v>1302.8499999999999</v>
      </c>
      <c r="W1878" s="3">
        <v>558.17999999999995</v>
      </c>
    </row>
    <row r="1879" spans="1:23" ht="60.75">
      <c r="A1879" s="3" t="s">
        <v>23</v>
      </c>
      <c r="B1879" s="3" t="s">
        <v>24</v>
      </c>
      <c r="C1879" s="3" t="s">
        <v>35</v>
      </c>
      <c r="D1879" s="3" t="s">
        <v>43</v>
      </c>
      <c r="E1879" s="3" t="s">
        <v>30</v>
      </c>
      <c r="F1879" s="3" t="s">
        <v>113</v>
      </c>
      <c r="G1879" s="3">
        <v>2016</v>
      </c>
      <c r="H1879" s="3" t="str">
        <f>CONCATENATE("64210718504")</f>
        <v>64210718504</v>
      </c>
      <c r="I1879" s="3" t="s">
        <v>25</v>
      </c>
      <c r="J1879" s="3" t="s">
        <v>26</v>
      </c>
      <c r="K1879" s="3" t="str">
        <f t="shared" si="61"/>
        <v/>
      </c>
      <c r="L1879" s="3" t="str">
        <f>CONCATENATE("13 13.1 4a")</f>
        <v>13 13.1 4a</v>
      </c>
      <c r="M1879" s="3" t="str">
        <f>CONCATENATE("MRTNTN47S08A327G")</f>
        <v>MRTNTN47S08A327G</v>
      </c>
      <c r="N1879" s="3" t="s">
        <v>415</v>
      </c>
      <c r="O1879" s="3"/>
      <c r="P1879" s="4">
        <v>42783</v>
      </c>
      <c r="Q1879" s="3" t="s">
        <v>27</v>
      </c>
      <c r="R1879" s="3" t="s">
        <v>28</v>
      </c>
      <c r="S1879" s="3" t="s">
        <v>29</v>
      </c>
      <c r="T1879" s="5">
        <v>3157.15</v>
      </c>
      <c r="U1879" s="5">
        <v>1361.36</v>
      </c>
      <c r="V1879" s="5">
        <v>1257.18</v>
      </c>
      <c r="W1879" s="3">
        <v>538.61</v>
      </c>
    </row>
    <row r="1880" spans="1:23" ht="60.75">
      <c r="A1880" s="3" t="s">
        <v>23</v>
      </c>
      <c r="B1880" s="3" t="s">
        <v>24</v>
      </c>
      <c r="C1880" s="3" t="s">
        <v>35</v>
      </c>
      <c r="D1880" s="3" t="s">
        <v>39</v>
      </c>
      <c r="E1880" s="3" t="s">
        <v>32</v>
      </c>
      <c r="F1880" s="3" t="s">
        <v>1269</v>
      </c>
      <c r="G1880" s="3">
        <v>2016</v>
      </c>
      <c r="H1880" s="3" t="str">
        <f>CONCATENATE("64240395265")</f>
        <v>64240395265</v>
      </c>
      <c r="I1880" s="3" t="s">
        <v>25</v>
      </c>
      <c r="J1880" s="3" t="s">
        <v>26</v>
      </c>
      <c r="K1880" s="3" t="str">
        <f t="shared" si="61"/>
        <v/>
      </c>
      <c r="L1880" s="3" t="str">
        <f>CONCATENATE("11 11.2 4b")</f>
        <v>11 11.2 4b</v>
      </c>
      <c r="M1880" s="3" t="str">
        <f>CONCATENATE("DPPCST69H60E783M")</f>
        <v>DPPCST69H60E783M</v>
      </c>
      <c r="N1880" s="3" t="s">
        <v>1889</v>
      </c>
      <c r="O1880" s="3"/>
      <c r="P1880" s="4">
        <v>42783</v>
      </c>
      <c r="Q1880" s="3" t="s">
        <v>27</v>
      </c>
      <c r="R1880" s="3" t="s">
        <v>28</v>
      </c>
      <c r="S1880" s="3" t="s">
        <v>29</v>
      </c>
      <c r="T1880" s="3">
        <v>86.41</v>
      </c>
      <c r="U1880" s="3">
        <v>37.26</v>
      </c>
      <c r="V1880" s="3">
        <v>34.409999999999997</v>
      </c>
      <c r="W1880" s="3">
        <v>14.74</v>
      </c>
    </row>
    <row r="1881" spans="1:23" ht="60.75">
      <c r="A1881" s="3" t="s">
        <v>23</v>
      </c>
      <c r="B1881" s="3" t="s">
        <v>24</v>
      </c>
      <c r="C1881" s="3" t="s">
        <v>35</v>
      </c>
      <c r="D1881" s="3" t="s">
        <v>36</v>
      </c>
      <c r="E1881" s="3" t="s">
        <v>30</v>
      </c>
      <c r="F1881" s="3" t="s">
        <v>86</v>
      </c>
      <c r="G1881" s="3">
        <v>2016</v>
      </c>
      <c r="H1881" s="3" t="str">
        <f>CONCATENATE("64210511206")</f>
        <v>64210511206</v>
      </c>
      <c r="I1881" s="3" t="s">
        <v>25</v>
      </c>
      <c r="J1881" s="3" t="s">
        <v>26</v>
      </c>
      <c r="K1881" s="3" t="str">
        <f t="shared" si="61"/>
        <v/>
      </c>
      <c r="L1881" s="3" t="str">
        <f>CONCATENATE("13 13.1 4a")</f>
        <v>13 13.1 4a</v>
      </c>
      <c r="M1881" s="3" t="str">
        <f>CONCATENATE("PLFGNN82C19A462E")</f>
        <v>PLFGNN82C19A462E</v>
      </c>
      <c r="N1881" s="3" t="s">
        <v>1890</v>
      </c>
      <c r="O1881" s="3"/>
      <c r="P1881" s="4">
        <v>42783</v>
      </c>
      <c r="Q1881" s="3" t="s">
        <v>27</v>
      </c>
      <c r="R1881" s="3" t="s">
        <v>28</v>
      </c>
      <c r="S1881" s="3" t="s">
        <v>29</v>
      </c>
      <c r="T1881" s="5">
        <v>1617.3</v>
      </c>
      <c r="U1881" s="3">
        <v>697.38</v>
      </c>
      <c r="V1881" s="3">
        <v>644.01</v>
      </c>
      <c r="W1881" s="3">
        <v>275.91000000000003</v>
      </c>
    </row>
    <row r="1882" spans="1:23" ht="36.75">
      <c r="A1882" s="3" t="s">
        <v>23</v>
      </c>
      <c r="B1882" s="3" t="s">
        <v>24</v>
      </c>
      <c r="C1882" s="3" t="s">
        <v>35</v>
      </c>
      <c r="D1882" s="3" t="s">
        <v>39</v>
      </c>
      <c r="E1882" s="3" t="s">
        <v>34</v>
      </c>
      <c r="F1882" s="3" t="s">
        <v>170</v>
      </c>
      <c r="G1882" s="3">
        <v>2016</v>
      </c>
      <c r="H1882" s="3" t="str">
        <f>CONCATENATE("64240613089")</f>
        <v>64240613089</v>
      </c>
      <c r="I1882" s="3" t="s">
        <v>25</v>
      </c>
      <c r="J1882" s="3" t="s">
        <v>26</v>
      </c>
      <c r="K1882" s="3" t="str">
        <f t="shared" si="61"/>
        <v/>
      </c>
      <c r="L1882" s="3" t="str">
        <f>CONCATENATE("11 11.1 4b")</f>
        <v>11 11.1 4b</v>
      </c>
      <c r="M1882" s="3" t="str">
        <f>CONCATENATE("01419770423")</f>
        <v>01419770423</v>
      </c>
      <c r="N1882" s="3" t="s">
        <v>1891</v>
      </c>
      <c r="O1882" s="3"/>
      <c r="P1882" s="4">
        <v>42783</v>
      </c>
      <c r="Q1882" s="3" t="s">
        <v>27</v>
      </c>
      <c r="R1882" s="3" t="s">
        <v>28</v>
      </c>
      <c r="S1882" s="3" t="s">
        <v>29</v>
      </c>
      <c r="T1882" s="5">
        <v>24001.759999999998</v>
      </c>
      <c r="U1882" s="5">
        <v>10349.56</v>
      </c>
      <c r="V1882" s="5">
        <v>9557.5</v>
      </c>
      <c r="W1882" s="5">
        <v>4094.7</v>
      </c>
    </row>
    <row r="1883" spans="1:23" ht="60.75">
      <c r="A1883" s="3" t="s">
        <v>23</v>
      </c>
      <c r="B1883" s="3" t="s">
        <v>24</v>
      </c>
      <c r="C1883" s="3" t="s">
        <v>35</v>
      </c>
      <c r="D1883" s="3" t="s">
        <v>43</v>
      </c>
      <c r="E1883" s="3" t="s">
        <v>32</v>
      </c>
      <c r="F1883" s="3" t="s">
        <v>148</v>
      </c>
      <c r="G1883" s="3">
        <v>2016</v>
      </c>
      <c r="H1883" s="3" t="str">
        <f>CONCATENATE("64240463816")</f>
        <v>64240463816</v>
      </c>
      <c r="I1883" s="3" t="s">
        <v>25</v>
      </c>
      <c r="J1883" s="3" t="s">
        <v>26</v>
      </c>
      <c r="K1883" s="3" t="str">
        <f t="shared" si="61"/>
        <v/>
      </c>
      <c r="L1883" s="3" t="str">
        <f>CONCATENATE("11 11.2 4b")</f>
        <v>11 11.2 4b</v>
      </c>
      <c r="M1883" s="3" t="str">
        <f>CONCATENATE("MNTGPP38A19F348M")</f>
        <v>MNTGPP38A19F348M</v>
      </c>
      <c r="N1883" s="3" t="s">
        <v>1892</v>
      </c>
      <c r="O1883" s="3"/>
      <c r="P1883" s="4">
        <v>42783</v>
      </c>
      <c r="Q1883" s="3" t="s">
        <v>27</v>
      </c>
      <c r="R1883" s="3" t="s">
        <v>28</v>
      </c>
      <c r="S1883" s="3" t="s">
        <v>29</v>
      </c>
      <c r="T1883" s="3">
        <v>809.57</v>
      </c>
      <c r="U1883" s="3">
        <v>349.09</v>
      </c>
      <c r="V1883" s="3">
        <v>322.37</v>
      </c>
      <c r="W1883" s="3">
        <v>138.11000000000001</v>
      </c>
    </row>
    <row r="1884" spans="1:23" ht="60.75">
      <c r="A1884" s="3" t="s">
        <v>23</v>
      </c>
      <c r="B1884" s="3" t="s">
        <v>24</v>
      </c>
      <c r="C1884" s="3" t="s">
        <v>35</v>
      </c>
      <c r="D1884" s="3" t="s">
        <v>48</v>
      </c>
      <c r="E1884" s="3" t="s">
        <v>30</v>
      </c>
      <c r="F1884" s="3" t="s">
        <v>91</v>
      </c>
      <c r="G1884" s="3">
        <v>2016</v>
      </c>
      <c r="H1884" s="3" t="str">
        <f>CONCATENATE("64210587875")</f>
        <v>64210587875</v>
      </c>
      <c r="I1884" s="3" t="s">
        <v>25</v>
      </c>
      <c r="J1884" s="3" t="s">
        <v>26</v>
      </c>
      <c r="K1884" s="3" t="str">
        <f t="shared" si="61"/>
        <v/>
      </c>
      <c r="L1884" s="3" t="str">
        <f>CONCATENATE("13 13.1 4a")</f>
        <v>13 13.1 4a</v>
      </c>
      <c r="M1884" s="3" t="str">
        <f>CONCATENATE("TTVBRN34P25M078D")</f>
        <v>TTVBRN34P25M078D</v>
      </c>
      <c r="N1884" s="3" t="s">
        <v>1893</v>
      </c>
      <c r="O1884" s="3"/>
      <c r="P1884" s="4">
        <v>42783</v>
      </c>
      <c r="Q1884" s="3" t="s">
        <v>27</v>
      </c>
      <c r="R1884" s="3" t="s">
        <v>28</v>
      </c>
      <c r="S1884" s="3" t="s">
        <v>29</v>
      </c>
      <c r="T1884" s="5">
        <v>4406.8999999999996</v>
      </c>
      <c r="U1884" s="5">
        <v>1900.26</v>
      </c>
      <c r="V1884" s="5">
        <v>1754.83</v>
      </c>
      <c r="W1884" s="3">
        <v>751.81</v>
      </c>
    </row>
    <row r="1885" spans="1:23" ht="60.75">
      <c r="A1885" s="3" t="s">
        <v>23</v>
      </c>
      <c r="B1885" s="3" t="s">
        <v>24</v>
      </c>
      <c r="C1885" s="3" t="s">
        <v>35</v>
      </c>
      <c r="D1885" s="3" t="s">
        <v>43</v>
      </c>
      <c r="E1885" s="3" t="s">
        <v>100</v>
      </c>
      <c r="F1885" s="3" t="s">
        <v>101</v>
      </c>
      <c r="G1885" s="3">
        <v>2016</v>
      </c>
      <c r="H1885" s="3" t="str">
        <f>CONCATENATE("64210710865")</f>
        <v>64210710865</v>
      </c>
      <c r="I1885" s="3" t="s">
        <v>31</v>
      </c>
      <c r="J1885" s="3" t="s">
        <v>26</v>
      </c>
      <c r="K1885" s="3" t="str">
        <f t="shared" si="61"/>
        <v/>
      </c>
      <c r="L1885" s="3" t="str">
        <f>CONCATENATE("13 13.1 4a")</f>
        <v>13 13.1 4a</v>
      </c>
      <c r="M1885" s="3" t="str">
        <f>CONCATENATE("PCAFLV74E25H294H")</f>
        <v>PCAFLV74E25H294H</v>
      </c>
      <c r="N1885" s="3" t="s">
        <v>309</v>
      </c>
      <c r="O1885" s="3"/>
      <c r="P1885" s="4">
        <v>42783</v>
      </c>
      <c r="Q1885" s="3" t="s">
        <v>27</v>
      </c>
      <c r="R1885" s="3" t="s">
        <v>28</v>
      </c>
      <c r="S1885" s="3" t="s">
        <v>29</v>
      </c>
      <c r="T1885" s="5">
        <v>3451.87</v>
      </c>
      <c r="U1885" s="5">
        <v>1488.45</v>
      </c>
      <c r="V1885" s="5">
        <v>1374.53</v>
      </c>
      <c r="W1885" s="3">
        <v>588.89</v>
      </c>
    </row>
    <row r="1886" spans="1:23" ht="60.75">
      <c r="A1886" s="3" t="s">
        <v>23</v>
      </c>
      <c r="B1886" s="3" t="s">
        <v>24</v>
      </c>
      <c r="C1886" s="3" t="s">
        <v>35</v>
      </c>
      <c r="D1886" s="3" t="s">
        <v>39</v>
      </c>
      <c r="E1886" s="3" t="s">
        <v>32</v>
      </c>
      <c r="F1886" s="3" t="s">
        <v>117</v>
      </c>
      <c r="G1886" s="3">
        <v>2016</v>
      </c>
      <c r="H1886" s="3" t="str">
        <f>CONCATENATE("64240485306")</f>
        <v>64240485306</v>
      </c>
      <c r="I1886" s="3" t="s">
        <v>25</v>
      </c>
      <c r="J1886" s="3" t="s">
        <v>26</v>
      </c>
      <c r="K1886" s="3" t="str">
        <f t="shared" si="61"/>
        <v/>
      </c>
      <c r="L1886" s="3" t="str">
        <f>CONCATENATE("11 11.2 4b")</f>
        <v>11 11.2 4b</v>
      </c>
      <c r="M1886" s="3" t="str">
        <f>CONCATENATE("LPNLRS74P52A271S")</f>
        <v>LPNLRS74P52A271S</v>
      </c>
      <c r="N1886" s="3" t="s">
        <v>1894</v>
      </c>
      <c r="O1886" s="3"/>
      <c r="P1886" s="4">
        <v>42783</v>
      </c>
      <c r="Q1886" s="3" t="s">
        <v>27</v>
      </c>
      <c r="R1886" s="3" t="s">
        <v>28</v>
      </c>
      <c r="S1886" s="3" t="s">
        <v>29</v>
      </c>
      <c r="T1886" s="5">
        <v>1995.53</v>
      </c>
      <c r="U1886" s="3">
        <v>860.47</v>
      </c>
      <c r="V1886" s="3">
        <v>794.62</v>
      </c>
      <c r="W1886" s="3">
        <v>340.44</v>
      </c>
    </row>
    <row r="1887" spans="1:23" ht="60.75">
      <c r="A1887" s="3" t="s">
        <v>23</v>
      </c>
      <c r="B1887" s="3" t="s">
        <v>24</v>
      </c>
      <c r="C1887" s="3" t="s">
        <v>35</v>
      </c>
      <c r="D1887" s="3" t="s">
        <v>36</v>
      </c>
      <c r="E1887" s="3" t="s">
        <v>32</v>
      </c>
      <c r="F1887" s="3" t="s">
        <v>127</v>
      </c>
      <c r="G1887" s="3">
        <v>2016</v>
      </c>
      <c r="H1887" s="3" t="str">
        <f>CONCATENATE("64240613758")</f>
        <v>64240613758</v>
      </c>
      <c r="I1887" s="3" t="s">
        <v>25</v>
      </c>
      <c r="J1887" s="3" t="s">
        <v>26</v>
      </c>
      <c r="K1887" s="3" t="str">
        <f t="shared" si="61"/>
        <v/>
      </c>
      <c r="L1887" s="3" t="str">
        <f>CONCATENATE("11 11.1 4b")</f>
        <v>11 11.1 4b</v>
      </c>
      <c r="M1887" s="3" t="str">
        <f>CONCATENATE("VTTFNC90T29A252N")</f>
        <v>VTTFNC90T29A252N</v>
      </c>
      <c r="N1887" s="3" t="s">
        <v>1895</v>
      </c>
      <c r="O1887" s="3"/>
      <c r="P1887" s="4">
        <v>42783</v>
      </c>
      <c r="Q1887" s="3" t="s">
        <v>27</v>
      </c>
      <c r="R1887" s="3" t="s">
        <v>28</v>
      </c>
      <c r="S1887" s="3" t="s">
        <v>29</v>
      </c>
      <c r="T1887" s="5">
        <v>2628.78</v>
      </c>
      <c r="U1887" s="5">
        <v>1133.53</v>
      </c>
      <c r="V1887" s="5">
        <v>1046.78</v>
      </c>
      <c r="W1887" s="3">
        <v>448.47</v>
      </c>
    </row>
    <row r="1888" spans="1:23" ht="60.75">
      <c r="A1888" s="3" t="s">
        <v>23</v>
      </c>
      <c r="B1888" s="3" t="s">
        <v>24</v>
      </c>
      <c r="C1888" s="3" t="s">
        <v>35</v>
      </c>
      <c r="D1888" s="3" t="s">
        <v>43</v>
      </c>
      <c r="E1888" s="3" t="s">
        <v>30</v>
      </c>
      <c r="F1888" s="3" t="s">
        <v>76</v>
      </c>
      <c r="G1888" s="3">
        <v>2016</v>
      </c>
      <c r="H1888" s="3" t="str">
        <f>CONCATENATE("64240331468")</f>
        <v>64240331468</v>
      </c>
      <c r="I1888" s="3" t="s">
        <v>25</v>
      </c>
      <c r="J1888" s="3" t="s">
        <v>26</v>
      </c>
      <c r="K1888" s="3" t="str">
        <f t="shared" si="61"/>
        <v/>
      </c>
      <c r="L1888" s="3" t="str">
        <f>CONCATENATE("11 11.2 4b")</f>
        <v>11 11.2 4b</v>
      </c>
      <c r="M1888" s="3" t="str">
        <f>CONCATENATE("GGGGLN66H63I459X")</f>
        <v>GGGGLN66H63I459X</v>
      </c>
      <c r="N1888" s="3" t="s">
        <v>1896</v>
      </c>
      <c r="O1888" s="3"/>
      <c r="P1888" s="4">
        <v>42783</v>
      </c>
      <c r="Q1888" s="3" t="s">
        <v>27</v>
      </c>
      <c r="R1888" s="3" t="s">
        <v>28</v>
      </c>
      <c r="S1888" s="3" t="s">
        <v>29</v>
      </c>
      <c r="T1888" s="5">
        <v>1466.42</v>
      </c>
      <c r="U1888" s="3">
        <v>632.32000000000005</v>
      </c>
      <c r="V1888" s="3">
        <v>583.92999999999995</v>
      </c>
      <c r="W1888" s="3">
        <v>250.17</v>
      </c>
    </row>
    <row r="1889" spans="1:23" ht="60.75">
      <c r="A1889" s="3" t="s">
        <v>23</v>
      </c>
      <c r="B1889" s="3" t="s">
        <v>24</v>
      </c>
      <c r="C1889" s="3" t="s">
        <v>35</v>
      </c>
      <c r="D1889" s="3" t="s">
        <v>36</v>
      </c>
      <c r="E1889" s="3" t="s">
        <v>33</v>
      </c>
      <c r="F1889" s="3" t="s">
        <v>89</v>
      </c>
      <c r="G1889" s="3">
        <v>2016</v>
      </c>
      <c r="H1889" s="3" t="str">
        <f>CONCATENATE("64210805673")</f>
        <v>64210805673</v>
      </c>
      <c r="I1889" s="3" t="s">
        <v>25</v>
      </c>
      <c r="J1889" s="3" t="s">
        <v>26</v>
      </c>
      <c r="K1889" s="3" t="str">
        <f t="shared" si="61"/>
        <v/>
      </c>
      <c r="L1889" s="3" t="str">
        <f>CONCATENATE("13 13.1 4a")</f>
        <v>13 13.1 4a</v>
      </c>
      <c r="M1889" s="3" t="str">
        <f>CONCATENATE("CRTGRL71M70L597Z")</f>
        <v>CRTGRL71M70L597Z</v>
      </c>
      <c r="N1889" s="3" t="s">
        <v>1897</v>
      </c>
      <c r="O1889" s="3"/>
      <c r="P1889" s="4">
        <v>42783</v>
      </c>
      <c r="Q1889" s="3" t="s">
        <v>27</v>
      </c>
      <c r="R1889" s="3" t="s">
        <v>28</v>
      </c>
      <c r="S1889" s="3" t="s">
        <v>29</v>
      </c>
      <c r="T1889" s="5">
        <v>4485.5</v>
      </c>
      <c r="U1889" s="5">
        <v>1934.15</v>
      </c>
      <c r="V1889" s="5">
        <v>1786.13</v>
      </c>
      <c r="W1889" s="3">
        <v>765.22</v>
      </c>
    </row>
    <row r="1890" spans="1:23" ht="60.75">
      <c r="A1890" s="3" t="s">
        <v>23</v>
      </c>
      <c r="B1890" s="3" t="s">
        <v>24</v>
      </c>
      <c r="C1890" s="3" t="s">
        <v>35</v>
      </c>
      <c r="D1890" s="3" t="s">
        <v>48</v>
      </c>
      <c r="E1890" s="3" t="s">
        <v>33</v>
      </c>
      <c r="F1890" s="3" t="s">
        <v>160</v>
      </c>
      <c r="G1890" s="3">
        <v>2016</v>
      </c>
      <c r="H1890" s="3" t="str">
        <f>CONCATENATE("64240373759")</f>
        <v>64240373759</v>
      </c>
      <c r="I1890" s="3" t="s">
        <v>25</v>
      </c>
      <c r="J1890" s="3" t="s">
        <v>26</v>
      </c>
      <c r="K1890" s="3" t="str">
        <f t="shared" si="61"/>
        <v/>
      </c>
      <c r="L1890" s="3" t="str">
        <f>CONCATENATE("11 11.2 4b")</f>
        <v>11 11.2 4b</v>
      </c>
      <c r="M1890" s="3" t="str">
        <f>CONCATENATE("PRNLCU65D26I286A")</f>
        <v>PRNLCU65D26I286A</v>
      </c>
      <c r="N1890" s="3" t="s">
        <v>1898</v>
      </c>
      <c r="O1890" s="3"/>
      <c r="P1890" s="4">
        <v>42783</v>
      </c>
      <c r="Q1890" s="3" t="s">
        <v>27</v>
      </c>
      <c r="R1890" s="3" t="s">
        <v>28</v>
      </c>
      <c r="S1890" s="3" t="s">
        <v>29</v>
      </c>
      <c r="T1890" s="5">
        <v>15066.46</v>
      </c>
      <c r="U1890" s="5">
        <v>6496.66</v>
      </c>
      <c r="V1890" s="5">
        <v>5999.46</v>
      </c>
      <c r="W1890" s="5">
        <v>2570.34</v>
      </c>
    </row>
    <row r="1891" spans="1:23" ht="60.75">
      <c r="A1891" s="3" t="s">
        <v>23</v>
      </c>
      <c r="B1891" s="3" t="s">
        <v>24</v>
      </c>
      <c r="C1891" s="3" t="s">
        <v>35</v>
      </c>
      <c r="D1891" s="3" t="s">
        <v>36</v>
      </c>
      <c r="E1891" s="3" t="s">
        <v>49</v>
      </c>
      <c r="F1891" s="3" t="s">
        <v>50</v>
      </c>
      <c r="G1891" s="3">
        <v>2016</v>
      </c>
      <c r="H1891" s="3" t="str">
        <f>CONCATENATE("64240489142")</f>
        <v>64240489142</v>
      </c>
      <c r="I1891" s="3" t="s">
        <v>25</v>
      </c>
      <c r="J1891" s="3" t="s">
        <v>26</v>
      </c>
      <c r="K1891" s="3" t="str">
        <f t="shared" si="61"/>
        <v/>
      </c>
      <c r="L1891" s="3" t="str">
        <f>CONCATENATE("11 11.2 4b")</f>
        <v>11 11.2 4b</v>
      </c>
      <c r="M1891" s="3" t="str">
        <f>CONCATENATE("DFLMRA63C29G516N")</f>
        <v>DFLMRA63C29G516N</v>
      </c>
      <c r="N1891" s="3" t="s">
        <v>1899</v>
      </c>
      <c r="O1891" s="3"/>
      <c r="P1891" s="4">
        <v>42783</v>
      </c>
      <c r="Q1891" s="3" t="s">
        <v>27</v>
      </c>
      <c r="R1891" s="3" t="s">
        <v>28</v>
      </c>
      <c r="S1891" s="3" t="s">
        <v>29</v>
      </c>
      <c r="T1891" s="5">
        <v>6464.31</v>
      </c>
      <c r="U1891" s="5">
        <v>2787.41</v>
      </c>
      <c r="V1891" s="5">
        <v>2574.09</v>
      </c>
      <c r="W1891" s="5">
        <v>1102.81</v>
      </c>
    </row>
    <row r="1892" spans="1:23" ht="72.75">
      <c r="A1892" s="3" t="s">
        <v>23</v>
      </c>
      <c r="B1892" s="3" t="s">
        <v>24</v>
      </c>
      <c r="C1892" s="3" t="s">
        <v>35</v>
      </c>
      <c r="D1892" s="3" t="s">
        <v>43</v>
      </c>
      <c r="E1892" s="3" t="s">
        <v>30</v>
      </c>
      <c r="F1892" s="3" t="s">
        <v>76</v>
      </c>
      <c r="G1892" s="3">
        <v>2016</v>
      </c>
      <c r="H1892" s="3" t="str">
        <f>CONCATENATE("64210086381")</f>
        <v>64210086381</v>
      </c>
      <c r="I1892" s="3" t="s">
        <v>25</v>
      </c>
      <c r="J1892" s="3" t="s">
        <v>26</v>
      </c>
      <c r="K1892" s="3" t="str">
        <f t="shared" si="61"/>
        <v/>
      </c>
      <c r="L1892" s="3" t="str">
        <f>CONCATENATE("13 13.1 4a")</f>
        <v>13 13.1 4a</v>
      </c>
      <c r="M1892" s="3" t="str">
        <f>CONCATENATE("BBEMLE64R22B816W")</f>
        <v>BBEMLE64R22B816W</v>
      </c>
      <c r="N1892" s="3" t="s">
        <v>1900</v>
      </c>
      <c r="O1892" s="3"/>
      <c r="P1892" s="4">
        <v>42783</v>
      </c>
      <c r="Q1892" s="3" t="s">
        <v>27</v>
      </c>
      <c r="R1892" s="3" t="s">
        <v>28</v>
      </c>
      <c r="S1892" s="3" t="s">
        <v>29</v>
      </c>
      <c r="T1892" s="5">
        <v>2208.64</v>
      </c>
      <c r="U1892" s="3">
        <v>952.37</v>
      </c>
      <c r="V1892" s="3">
        <v>879.48</v>
      </c>
      <c r="W1892" s="3">
        <v>376.79</v>
      </c>
    </row>
    <row r="1893" spans="1:23" ht="60.75">
      <c r="A1893" s="3" t="s">
        <v>23</v>
      </c>
      <c r="B1893" s="3" t="s">
        <v>24</v>
      </c>
      <c r="C1893" s="3" t="s">
        <v>35</v>
      </c>
      <c r="D1893" s="3" t="s">
        <v>48</v>
      </c>
      <c r="E1893" s="3" t="s">
        <v>30</v>
      </c>
      <c r="F1893" s="3" t="s">
        <v>157</v>
      </c>
      <c r="G1893" s="3">
        <v>2016</v>
      </c>
      <c r="H1893" s="3" t="str">
        <f>CONCATENATE("64240203261")</f>
        <v>64240203261</v>
      </c>
      <c r="I1893" s="3" t="s">
        <v>25</v>
      </c>
      <c r="J1893" s="3" t="s">
        <v>26</v>
      </c>
      <c r="K1893" s="3" t="str">
        <f t="shared" si="61"/>
        <v/>
      </c>
      <c r="L1893" s="3" t="str">
        <f>CONCATENATE("11 11.2 4b")</f>
        <v>11 11.2 4b</v>
      </c>
      <c r="M1893" s="3" t="str">
        <f>CONCATENATE("MEOFRZ54E13H876X")</f>
        <v>MEOFRZ54E13H876X</v>
      </c>
      <c r="N1893" s="3" t="s">
        <v>1901</v>
      </c>
      <c r="O1893" s="3"/>
      <c r="P1893" s="4">
        <v>42783</v>
      </c>
      <c r="Q1893" s="3" t="s">
        <v>27</v>
      </c>
      <c r="R1893" s="3" t="s">
        <v>28</v>
      </c>
      <c r="S1893" s="3" t="s">
        <v>29</v>
      </c>
      <c r="T1893" s="5">
        <v>2879</v>
      </c>
      <c r="U1893" s="5">
        <v>1241.42</v>
      </c>
      <c r="V1893" s="5">
        <v>1146.42</v>
      </c>
      <c r="W1893" s="3">
        <v>491.16</v>
      </c>
    </row>
    <row r="1894" spans="1:23" ht="60.75">
      <c r="A1894" s="3" t="s">
        <v>23</v>
      </c>
      <c r="B1894" s="3" t="s">
        <v>24</v>
      </c>
      <c r="C1894" s="3" t="s">
        <v>35</v>
      </c>
      <c r="D1894" s="3" t="s">
        <v>48</v>
      </c>
      <c r="E1894" s="3" t="s">
        <v>30</v>
      </c>
      <c r="F1894" s="3" t="s">
        <v>91</v>
      </c>
      <c r="G1894" s="3">
        <v>2016</v>
      </c>
      <c r="H1894" s="3" t="str">
        <f>CONCATENATE("64240254165")</f>
        <v>64240254165</v>
      </c>
      <c r="I1894" s="3" t="s">
        <v>25</v>
      </c>
      <c r="J1894" s="3" t="s">
        <v>26</v>
      </c>
      <c r="K1894" s="3" t="str">
        <f t="shared" si="61"/>
        <v/>
      </c>
      <c r="L1894" s="3" t="str">
        <f>CONCATENATE("11 11.2 4b")</f>
        <v>11 11.2 4b</v>
      </c>
      <c r="M1894" s="3" t="str">
        <f>CONCATENATE("RBCMRA35M19B474I")</f>
        <v>RBCMRA35M19B474I</v>
      </c>
      <c r="N1894" s="3" t="s">
        <v>1902</v>
      </c>
      <c r="O1894" s="3"/>
      <c r="P1894" s="4">
        <v>42783</v>
      </c>
      <c r="Q1894" s="3" t="s">
        <v>27</v>
      </c>
      <c r="R1894" s="3" t="s">
        <v>28</v>
      </c>
      <c r="S1894" s="3" t="s">
        <v>29</v>
      </c>
      <c r="T1894" s="3">
        <v>634.46</v>
      </c>
      <c r="U1894" s="3">
        <v>273.58</v>
      </c>
      <c r="V1894" s="3">
        <v>252.64</v>
      </c>
      <c r="W1894" s="3">
        <v>108.24</v>
      </c>
    </row>
    <row r="1895" spans="1:23" ht="60.75">
      <c r="A1895" s="3" t="s">
        <v>23</v>
      </c>
      <c r="B1895" s="3" t="s">
        <v>24</v>
      </c>
      <c r="C1895" s="3" t="s">
        <v>35</v>
      </c>
      <c r="D1895" s="3" t="s">
        <v>39</v>
      </c>
      <c r="E1895" s="3" t="s">
        <v>32</v>
      </c>
      <c r="F1895" s="3" t="s">
        <v>69</v>
      </c>
      <c r="G1895" s="3">
        <v>2016</v>
      </c>
      <c r="H1895" s="3" t="str">
        <f>CONCATENATE("64240500963")</f>
        <v>64240500963</v>
      </c>
      <c r="I1895" s="3" t="s">
        <v>25</v>
      </c>
      <c r="J1895" s="3" t="s">
        <v>26</v>
      </c>
      <c r="K1895" s="3" t="str">
        <f t="shared" si="61"/>
        <v/>
      </c>
      <c r="L1895" s="3" t="str">
        <f>CONCATENATE("11 11.2 4b")</f>
        <v>11 11.2 4b</v>
      </c>
      <c r="M1895" s="3" t="str">
        <f>CONCATENATE("SCHMRA49E29E388J")</f>
        <v>SCHMRA49E29E388J</v>
      </c>
      <c r="N1895" s="3" t="s">
        <v>1903</v>
      </c>
      <c r="O1895" s="3"/>
      <c r="P1895" s="4">
        <v>42783</v>
      </c>
      <c r="Q1895" s="3" t="s">
        <v>27</v>
      </c>
      <c r="R1895" s="3" t="s">
        <v>28</v>
      </c>
      <c r="S1895" s="3" t="s">
        <v>29</v>
      </c>
      <c r="T1895" s="5">
        <v>5482.22</v>
      </c>
      <c r="U1895" s="5">
        <v>2363.9299999999998</v>
      </c>
      <c r="V1895" s="5">
        <v>2183.02</v>
      </c>
      <c r="W1895" s="3">
        <v>935.27</v>
      </c>
    </row>
    <row r="1896" spans="1:23" ht="60.75">
      <c r="A1896" s="3" t="s">
        <v>23</v>
      </c>
      <c r="B1896" s="3" t="s">
        <v>24</v>
      </c>
      <c r="C1896" s="3" t="s">
        <v>35</v>
      </c>
      <c r="D1896" s="3" t="s">
        <v>36</v>
      </c>
      <c r="E1896" s="3" t="s">
        <v>30</v>
      </c>
      <c r="F1896" s="3" t="s">
        <v>37</v>
      </c>
      <c r="G1896" s="3">
        <v>2016</v>
      </c>
      <c r="H1896" s="3" t="str">
        <f>CONCATENATE("64240616686")</f>
        <v>64240616686</v>
      </c>
      <c r="I1896" s="3" t="s">
        <v>25</v>
      </c>
      <c r="J1896" s="3" t="s">
        <v>26</v>
      </c>
      <c r="K1896" s="3" t="str">
        <f t="shared" si="61"/>
        <v/>
      </c>
      <c r="L1896" s="3" t="str">
        <f>CONCATENATE("11 11.2 4b")</f>
        <v>11 11.2 4b</v>
      </c>
      <c r="M1896" s="3" t="str">
        <f>CONCATENATE("SPCGDU63M15F415N")</f>
        <v>SPCGDU63M15F415N</v>
      </c>
      <c r="N1896" s="3" t="s">
        <v>1904</v>
      </c>
      <c r="O1896" s="3"/>
      <c r="P1896" s="4">
        <v>42783</v>
      </c>
      <c r="Q1896" s="3" t="s">
        <v>27</v>
      </c>
      <c r="R1896" s="3" t="s">
        <v>28</v>
      </c>
      <c r="S1896" s="3" t="s">
        <v>29</v>
      </c>
      <c r="T1896" s="5">
        <v>6078.85</v>
      </c>
      <c r="U1896" s="5">
        <v>2621.1999999999998</v>
      </c>
      <c r="V1896" s="5">
        <v>2420.6</v>
      </c>
      <c r="W1896" s="5">
        <v>1037.05</v>
      </c>
    </row>
    <row r="1897" spans="1:23" ht="36.75">
      <c r="A1897" s="3" t="s">
        <v>23</v>
      </c>
      <c r="B1897" s="3" t="s">
        <v>24</v>
      </c>
      <c r="C1897" s="3" t="s">
        <v>35</v>
      </c>
      <c r="D1897" s="3" t="s">
        <v>43</v>
      </c>
      <c r="E1897" s="3" t="s">
        <v>30</v>
      </c>
      <c r="F1897" s="3" t="s">
        <v>109</v>
      </c>
      <c r="G1897" s="3">
        <v>2016</v>
      </c>
      <c r="H1897" s="3" t="str">
        <f>CONCATENATE("64240731279")</f>
        <v>64240731279</v>
      </c>
      <c r="I1897" s="3" t="s">
        <v>25</v>
      </c>
      <c r="J1897" s="3" t="s">
        <v>26</v>
      </c>
      <c r="K1897" s="3" t="str">
        <f t="shared" si="61"/>
        <v/>
      </c>
      <c r="L1897" s="3" t="str">
        <f>CONCATENATE("11 11.2 4b")</f>
        <v>11 11.2 4b</v>
      </c>
      <c r="M1897" s="3" t="str">
        <f>CONCATENATE("00398210419")</f>
        <v>00398210419</v>
      </c>
      <c r="N1897" s="3" t="s">
        <v>110</v>
      </c>
      <c r="O1897" s="3"/>
      <c r="P1897" s="4">
        <v>42783</v>
      </c>
      <c r="Q1897" s="3" t="s">
        <v>27</v>
      </c>
      <c r="R1897" s="3" t="s">
        <v>28</v>
      </c>
      <c r="S1897" s="3" t="s">
        <v>29</v>
      </c>
      <c r="T1897" s="5">
        <v>43545.440000000002</v>
      </c>
      <c r="U1897" s="5">
        <v>18776.79</v>
      </c>
      <c r="V1897" s="5">
        <v>17339.79</v>
      </c>
      <c r="W1897" s="5">
        <v>7428.86</v>
      </c>
    </row>
    <row r="1898" spans="1:23" ht="60.75">
      <c r="A1898" s="3" t="s">
        <v>23</v>
      </c>
      <c r="B1898" s="3" t="s">
        <v>24</v>
      </c>
      <c r="C1898" s="3" t="s">
        <v>35</v>
      </c>
      <c r="D1898" s="3" t="s">
        <v>43</v>
      </c>
      <c r="E1898" s="3" t="s">
        <v>30</v>
      </c>
      <c r="F1898" s="3" t="s">
        <v>76</v>
      </c>
      <c r="G1898" s="3">
        <v>2016</v>
      </c>
      <c r="H1898" s="3" t="str">
        <f>CONCATENATE("64210157612")</f>
        <v>64210157612</v>
      </c>
      <c r="I1898" s="3" t="s">
        <v>25</v>
      </c>
      <c r="J1898" s="3" t="s">
        <v>26</v>
      </c>
      <c r="K1898" s="3" t="str">
        <f t="shared" si="61"/>
        <v/>
      </c>
      <c r="L1898" s="3" t="str">
        <f>CONCATENATE("13 13.1 4a")</f>
        <v>13 13.1 4a</v>
      </c>
      <c r="M1898" s="3" t="str">
        <f>CONCATENATE("CCCGGN68P50I459R")</f>
        <v>CCCGGN68P50I459R</v>
      </c>
      <c r="N1898" s="3" t="s">
        <v>1905</v>
      </c>
      <c r="O1898" s="3"/>
      <c r="P1898" s="4">
        <v>42783</v>
      </c>
      <c r="Q1898" s="3" t="s">
        <v>27</v>
      </c>
      <c r="R1898" s="3" t="s">
        <v>28</v>
      </c>
      <c r="S1898" s="3" t="s">
        <v>29</v>
      </c>
      <c r="T1898" s="5">
        <v>3728.57</v>
      </c>
      <c r="U1898" s="5">
        <v>1607.76</v>
      </c>
      <c r="V1898" s="5">
        <v>1484.72</v>
      </c>
      <c r="W1898" s="3">
        <v>636.09</v>
      </c>
    </row>
    <row r="1899" spans="1:23" ht="60.75">
      <c r="A1899" s="3" t="s">
        <v>23</v>
      </c>
      <c r="B1899" s="3" t="s">
        <v>24</v>
      </c>
      <c r="C1899" s="3" t="s">
        <v>35</v>
      </c>
      <c r="D1899" s="3" t="s">
        <v>36</v>
      </c>
      <c r="E1899" s="3" t="s">
        <v>59</v>
      </c>
      <c r="F1899" s="3" t="s">
        <v>62</v>
      </c>
      <c r="G1899" s="3">
        <v>2016</v>
      </c>
      <c r="H1899" s="3" t="str">
        <f>CONCATENATE("64240500005")</f>
        <v>64240500005</v>
      </c>
      <c r="I1899" s="3" t="s">
        <v>25</v>
      </c>
      <c r="J1899" s="3" t="s">
        <v>26</v>
      </c>
      <c r="K1899" s="3" t="str">
        <f t="shared" si="61"/>
        <v/>
      </c>
      <c r="L1899" s="3" t="str">
        <f>CONCATENATE("10 10.1 4b")</f>
        <v>10 10.1 4b</v>
      </c>
      <c r="M1899" s="3" t="str">
        <f>CONCATENATE("CHRPLA68P29H769J")</f>
        <v>CHRPLA68P29H769J</v>
      </c>
      <c r="N1899" s="3" t="s">
        <v>1906</v>
      </c>
      <c r="O1899" s="3"/>
      <c r="P1899" s="4">
        <v>42783</v>
      </c>
      <c r="Q1899" s="3" t="s">
        <v>27</v>
      </c>
      <c r="R1899" s="3" t="s">
        <v>28</v>
      </c>
      <c r="S1899" s="3" t="s">
        <v>29</v>
      </c>
      <c r="T1899" s="5">
        <v>6847.01</v>
      </c>
      <c r="U1899" s="5">
        <v>2952.43</v>
      </c>
      <c r="V1899" s="5">
        <v>2726.48</v>
      </c>
      <c r="W1899" s="5">
        <v>1168.0999999999999</v>
      </c>
    </row>
    <row r="1900" spans="1:23" ht="36.75">
      <c r="A1900" s="3" t="s">
        <v>23</v>
      </c>
      <c r="B1900" s="3" t="s">
        <v>24</v>
      </c>
      <c r="C1900" s="3" t="s">
        <v>35</v>
      </c>
      <c r="D1900" s="3" t="s">
        <v>36</v>
      </c>
      <c r="E1900" s="3" t="s">
        <v>33</v>
      </c>
      <c r="F1900" s="3" t="s">
        <v>192</v>
      </c>
      <c r="G1900" s="3">
        <v>2016</v>
      </c>
      <c r="H1900" s="3" t="str">
        <f>CONCATENATE("64240862298")</f>
        <v>64240862298</v>
      </c>
      <c r="I1900" s="3" t="s">
        <v>25</v>
      </c>
      <c r="J1900" s="3" t="s">
        <v>26</v>
      </c>
      <c r="K1900" s="3" t="str">
        <f t="shared" si="61"/>
        <v/>
      </c>
      <c r="L1900" s="3" t="str">
        <f>CONCATENATE("11 11.2 4b")</f>
        <v>11 11.2 4b</v>
      </c>
      <c r="M1900" s="3" t="str">
        <f>CONCATENATE("01769990449")</f>
        <v>01769990449</v>
      </c>
      <c r="N1900" s="3" t="s">
        <v>1907</v>
      </c>
      <c r="O1900" s="3"/>
      <c r="P1900" s="4">
        <v>42783</v>
      </c>
      <c r="Q1900" s="3" t="s">
        <v>27</v>
      </c>
      <c r="R1900" s="3" t="s">
        <v>28</v>
      </c>
      <c r="S1900" s="3" t="s">
        <v>29</v>
      </c>
      <c r="T1900" s="5">
        <v>3276.06</v>
      </c>
      <c r="U1900" s="5">
        <v>1412.64</v>
      </c>
      <c r="V1900" s="5">
        <v>1304.53</v>
      </c>
      <c r="W1900" s="3">
        <v>558.89</v>
      </c>
    </row>
    <row r="1901" spans="1:23" ht="60.75">
      <c r="A1901" s="3" t="s">
        <v>23</v>
      </c>
      <c r="B1901" s="3" t="s">
        <v>24</v>
      </c>
      <c r="C1901" s="3" t="s">
        <v>35</v>
      </c>
      <c r="D1901" s="3" t="s">
        <v>43</v>
      </c>
      <c r="E1901" s="3" t="s">
        <v>30</v>
      </c>
      <c r="F1901" s="3" t="s">
        <v>113</v>
      </c>
      <c r="G1901" s="3">
        <v>2016</v>
      </c>
      <c r="H1901" s="3" t="str">
        <f>CONCATENATE("64240793881")</f>
        <v>64240793881</v>
      </c>
      <c r="I1901" s="3" t="s">
        <v>25</v>
      </c>
      <c r="J1901" s="3" t="s">
        <v>26</v>
      </c>
      <c r="K1901" s="3" t="str">
        <f t="shared" si="61"/>
        <v/>
      </c>
      <c r="L1901" s="3" t="str">
        <f>CONCATENATE("11 11.1 4b")</f>
        <v>11 11.1 4b</v>
      </c>
      <c r="M1901" s="3" t="str">
        <f>CONCATENATE("BCCFRZ62A30A327P")</f>
        <v>BCCFRZ62A30A327P</v>
      </c>
      <c r="N1901" s="3" t="s">
        <v>1204</v>
      </c>
      <c r="O1901" s="3"/>
      <c r="P1901" s="4">
        <v>42783</v>
      </c>
      <c r="Q1901" s="3" t="s">
        <v>27</v>
      </c>
      <c r="R1901" s="3" t="s">
        <v>28</v>
      </c>
      <c r="S1901" s="3" t="s">
        <v>29</v>
      </c>
      <c r="T1901" s="5">
        <v>1596.33</v>
      </c>
      <c r="U1901" s="3">
        <v>688.34</v>
      </c>
      <c r="V1901" s="3">
        <v>635.66</v>
      </c>
      <c r="W1901" s="3">
        <v>272.33</v>
      </c>
    </row>
    <row r="1902" spans="1:23" ht="60.75">
      <c r="A1902" s="3" t="s">
        <v>23</v>
      </c>
      <c r="B1902" s="3" t="s">
        <v>24</v>
      </c>
      <c r="C1902" s="3" t="s">
        <v>35</v>
      </c>
      <c r="D1902" s="3" t="s">
        <v>43</v>
      </c>
      <c r="E1902" s="3" t="s">
        <v>30</v>
      </c>
      <c r="F1902" s="3" t="s">
        <v>76</v>
      </c>
      <c r="G1902" s="3">
        <v>2016</v>
      </c>
      <c r="H1902" s="3" t="str">
        <f>CONCATENATE("64240041307")</f>
        <v>64240041307</v>
      </c>
      <c r="I1902" s="3" t="s">
        <v>25</v>
      </c>
      <c r="J1902" s="3" t="s">
        <v>26</v>
      </c>
      <c r="K1902" s="3" t="str">
        <f t="shared" si="61"/>
        <v/>
      </c>
      <c r="L1902" s="3" t="str">
        <f>CONCATENATE("11 11.2 4b")</f>
        <v>11 11.2 4b</v>
      </c>
      <c r="M1902" s="3" t="str">
        <f>CONCATENATE("FDDMCH54M25A895I")</f>
        <v>FDDMCH54M25A895I</v>
      </c>
      <c r="N1902" s="3" t="s">
        <v>1908</v>
      </c>
      <c r="O1902" s="3"/>
      <c r="P1902" s="4">
        <v>42783</v>
      </c>
      <c r="Q1902" s="3" t="s">
        <v>27</v>
      </c>
      <c r="R1902" s="3" t="s">
        <v>28</v>
      </c>
      <c r="S1902" s="3" t="s">
        <v>29</v>
      </c>
      <c r="T1902" s="5">
        <v>4598.13</v>
      </c>
      <c r="U1902" s="5">
        <v>1982.71</v>
      </c>
      <c r="V1902" s="5">
        <v>1830.98</v>
      </c>
      <c r="W1902" s="3">
        <v>784.44</v>
      </c>
    </row>
    <row r="1903" spans="1:23" ht="72.75">
      <c r="A1903" s="3" t="s">
        <v>23</v>
      </c>
      <c r="B1903" s="3" t="s">
        <v>24</v>
      </c>
      <c r="C1903" s="3" t="s">
        <v>35</v>
      </c>
      <c r="D1903" s="3" t="s">
        <v>36</v>
      </c>
      <c r="E1903" s="3" t="s">
        <v>33</v>
      </c>
      <c r="F1903" s="3" t="s">
        <v>89</v>
      </c>
      <c r="G1903" s="3">
        <v>2016</v>
      </c>
      <c r="H1903" s="3" t="str">
        <f>CONCATENATE("64240471231")</f>
        <v>64240471231</v>
      </c>
      <c r="I1903" s="3" t="s">
        <v>25</v>
      </c>
      <c r="J1903" s="3" t="s">
        <v>26</v>
      </c>
      <c r="K1903" s="3" t="str">
        <f t="shared" si="61"/>
        <v/>
      </c>
      <c r="L1903" s="3" t="str">
        <f>CONCATENATE("11 11.1 4b")</f>
        <v>11 11.1 4b</v>
      </c>
      <c r="M1903" s="3" t="str">
        <f>CONCATENATE("GNNLCU96D30A252H")</f>
        <v>GNNLCU96D30A252H</v>
      </c>
      <c r="N1903" s="3" t="s">
        <v>1909</v>
      </c>
      <c r="O1903" s="3"/>
      <c r="P1903" s="4">
        <v>42783</v>
      </c>
      <c r="Q1903" s="3" t="s">
        <v>27</v>
      </c>
      <c r="R1903" s="3" t="s">
        <v>28</v>
      </c>
      <c r="S1903" s="3" t="s">
        <v>29</v>
      </c>
      <c r="T1903" s="3">
        <v>765.77</v>
      </c>
      <c r="U1903" s="3">
        <v>330.2</v>
      </c>
      <c r="V1903" s="3">
        <v>304.93</v>
      </c>
      <c r="W1903" s="3">
        <v>130.63999999999999</v>
      </c>
    </row>
    <row r="1904" spans="1:23" ht="36.75">
      <c r="A1904" s="3" t="s">
        <v>23</v>
      </c>
      <c r="B1904" s="3" t="s">
        <v>24</v>
      </c>
      <c r="C1904" s="3" t="s">
        <v>35</v>
      </c>
      <c r="D1904" s="3" t="s">
        <v>48</v>
      </c>
      <c r="E1904" s="3" t="s">
        <v>49</v>
      </c>
      <c r="F1904" s="3" t="s">
        <v>80</v>
      </c>
      <c r="G1904" s="3">
        <v>2016</v>
      </c>
      <c r="H1904" s="3" t="str">
        <f>CONCATENATE("64210677445")</f>
        <v>64210677445</v>
      </c>
      <c r="I1904" s="3" t="s">
        <v>25</v>
      </c>
      <c r="J1904" s="3" t="s">
        <v>26</v>
      </c>
      <c r="K1904" s="3" t="str">
        <f t="shared" si="61"/>
        <v/>
      </c>
      <c r="L1904" s="3" t="str">
        <f>CONCATENATE("13 13.1 4a")</f>
        <v>13 13.1 4a</v>
      </c>
      <c r="M1904" s="3" t="str">
        <f>CONCATENATE("01781710437")</f>
        <v>01781710437</v>
      </c>
      <c r="N1904" s="3" t="s">
        <v>1857</v>
      </c>
      <c r="O1904" s="3"/>
      <c r="P1904" s="4">
        <v>42783</v>
      </c>
      <c r="Q1904" s="3" t="s">
        <v>27</v>
      </c>
      <c r="R1904" s="3" t="s">
        <v>28</v>
      </c>
      <c r="S1904" s="3" t="s">
        <v>29</v>
      </c>
      <c r="T1904" s="5">
        <v>4590</v>
      </c>
      <c r="U1904" s="5">
        <v>1979.21</v>
      </c>
      <c r="V1904" s="5">
        <v>1827.74</v>
      </c>
      <c r="W1904" s="3">
        <v>783.05</v>
      </c>
    </row>
    <row r="1905" spans="1:23" ht="36.75">
      <c r="A1905" s="3" t="s">
        <v>23</v>
      </c>
      <c r="B1905" s="3" t="s">
        <v>24</v>
      </c>
      <c r="C1905" s="3" t="s">
        <v>35</v>
      </c>
      <c r="D1905" s="3" t="s">
        <v>48</v>
      </c>
      <c r="E1905" s="3" t="s">
        <v>30</v>
      </c>
      <c r="F1905" s="3" t="s">
        <v>57</v>
      </c>
      <c r="G1905" s="3">
        <v>2016</v>
      </c>
      <c r="H1905" s="3" t="str">
        <f>CONCATENATE("64240458725")</f>
        <v>64240458725</v>
      </c>
      <c r="I1905" s="3" t="s">
        <v>25</v>
      </c>
      <c r="J1905" s="3" t="s">
        <v>26</v>
      </c>
      <c r="K1905" s="3" t="str">
        <f t="shared" si="61"/>
        <v/>
      </c>
      <c r="L1905" s="3" t="str">
        <f>CONCATENATE("11 11.2 4b")</f>
        <v>11 11.2 4b</v>
      </c>
      <c r="M1905" s="3" t="str">
        <f>CONCATENATE("01208040434")</f>
        <v>01208040434</v>
      </c>
      <c r="N1905" s="3" t="s">
        <v>1910</v>
      </c>
      <c r="O1905" s="3"/>
      <c r="P1905" s="4">
        <v>42783</v>
      </c>
      <c r="Q1905" s="3" t="s">
        <v>27</v>
      </c>
      <c r="R1905" s="3" t="s">
        <v>28</v>
      </c>
      <c r="S1905" s="3" t="s">
        <v>29</v>
      </c>
      <c r="T1905" s="5">
        <v>8189.39</v>
      </c>
      <c r="U1905" s="5">
        <v>3531.26</v>
      </c>
      <c r="V1905" s="5">
        <v>3261.02</v>
      </c>
      <c r="W1905" s="5">
        <v>1397.11</v>
      </c>
    </row>
    <row r="1906" spans="1:23" ht="72.75">
      <c r="A1906" s="3" t="s">
        <v>23</v>
      </c>
      <c r="B1906" s="3" t="s">
        <v>24</v>
      </c>
      <c r="C1906" s="3" t="s">
        <v>35</v>
      </c>
      <c r="D1906" s="3" t="s">
        <v>48</v>
      </c>
      <c r="E1906" s="3" t="s">
        <v>30</v>
      </c>
      <c r="F1906" s="3" t="s">
        <v>91</v>
      </c>
      <c r="G1906" s="3">
        <v>2016</v>
      </c>
      <c r="H1906" s="3" t="str">
        <f>CONCATENATE("64210512493")</f>
        <v>64210512493</v>
      </c>
      <c r="I1906" s="3" t="s">
        <v>25</v>
      </c>
      <c r="J1906" s="3" t="s">
        <v>26</v>
      </c>
      <c r="K1906" s="3" t="str">
        <f t="shared" si="61"/>
        <v/>
      </c>
      <c r="L1906" s="3" t="str">
        <f>CONCATENATE("13 13.1 4a")</f>
        <v>13 13.1 4a</v>
      </c>
      <c r="M1906" s="3" t="str">
        <f>CONCATENATE("CRSSRA89H64B474Q")</f>
        <v>CRSSRA89H64B474Q</v>
      </c>
      <c r="N1906" s="3" t="s">
        <v>893</v>
      </c>
      <c r="O1906" s="3"/>
      <c r="P1906" s="4">
        <v>42783</v>
      </c>
      <c r="Q1906" s="3" t="s">
        <v>27</v>
      </c>
      <c r="R1906" s="3" t="s">
        <v>28</v>
      </c>
      <c r="S1906" s="3" t="s">
        <v>29</v>
      </c>
      <c r="T1906" s="5">
        <v>4590</v>
      </c>
      <c r="U1906" s="5">
        <v>1979.21</v>
      </c>
      <c r="V1906" s="5">
        <v>1827.74</v>
      </c>
      <c r="W1906" s="3">
        <v>783.05</v>
      </c>
    </row>
    <row r="1907" spans="1:23" ht="36.75">
      <c r="A1907" s="3" t="s">
        <v>23</v>
      </c>
      <c r="B1907" s="3" t="s">
        <v>24</v>
      </c>
      <c r="C1907" s="3" t="s">
        <v>35</v>
      </c>
      <c r="D1907" s="3" t="s">
        <v>43</v>
      </c>
      <c r="E1907" s="3" t="s">
        <v>30</v>
      </c>
      <c r="F1907" s="3" t="s">
        <v>76</v>
      </c>
      <c r="G1907" s="3">
        <v>2016</v>
      </c>
      <c r="H1907" s="3" t="str">
        <f>CONCATENATE("64240041273")</f>
        <v>64240041273</v>
      </c>
      <c r="I1907" s="3" t="s">
        <v>25</v>
      </c>
      <c r="J1907" s="3" t="s">
        <v>26</v>
      </c>
      <c r="K1907" s="3" t="str">
        <f t="shared" si="61"/>
        <v/>
      </c>
      <c r="L1907" s="3" t="str">
        <f>CONCATENATE("11 11.2 4b")</f>
        <v>11 11.2 4b</v>
      </c>
      <c r="M1907" s="3" t="str">
        <f>CONCATENATE("02144520414")</f>
        <v>02144520414</v>
      </c>
      <c r="N1907" s="3" t="s">
        <v>488</v>
      </c>
      <c r="O1907" s="3"/>
      <c r="P1907" s="4">
        <v>42783</v>
      </c>
      <c r="Q1907" s="3" t="s">
        <v>27</v>
      </c>
      <c r="R1907" s="3" t="s">
        <v>28</v>
      </c>
      <c r="S1907" s="3" t="s">
        <v>29</v>
      </c>
      <c r="T1907" s="5">
        <v>2369.0500000000002</v>
      </c>
      <c r="U1907" s="5">
        <v>1021.53</v>
      </c>
      <c r="V1907" s="3">
        <v>943.36</v>
      </c>
      <c r="W1907" s="3">
        <v>404.16</v>
      </c>
    </row>
    <row r="1908" spans="1:23" ht="60.75">
      <c r="A1908" s="3" t="s">
        <v>23</v>
      </c>
      <c r="B1908" s="3" t="s">
        <v>24</v>
      </c>
      <c r="C1908" s="3" t="s">
        <v>35</v>
      </c>
      <c r="D1908" s="3" t="s">
        <v>39</v>
      </c>
      <c r="E1908" s="3" t="s">
        <v>34</v>
      </c>
      <c r="F1908" s="3" t="s">
        <v>170</v>
      </c>
      <c r="G1908" s="3">
        <v>2016</v>
      </c>
      <c r="H1908" s="3" t="str">
        <f>CONCATENATE("64240225777")</f>
        <v>64240225777</v>
      </c>
      <c r="I1908" s="3" t="s">
        <v>25</v>
      </c>
      <c r="J1908" s="3" t="s">
        <v>26</v>
      </c>
      <c r="K1908" s="3" t="str">
        <f t="shared" si="61"/>
        <v/>
      </c>
      <c r="L1908" s="3" t="str">
        <f>CONCATENATE("11 11.1 4b")</f>
        <v>11 11.1 4b</v>
      </c>
      <c r="M1908" s="3" t="str">
        <f>CONCATENATE("RGGRSL68C62A271Q")</f>
        <v>RGGRSL68C62A271Q</v>
      </c>
      <c r="N1908" s="3" t="s">
        <v>1911</v>
      </c>
      <c r="O1908" s="3"/>
      <c r="P1908" s="4">
        <v>42783</v>
      </c>
      <c r="Q1908" s="3" t="s">
        <v>27</v>
      </c>
      <c r="R1908" s="3" t="s">
        <v>28</v>
      </c>
      <c r="S1908" s="3" t="s">
        <v>29</v>
      </c>
      <c r="T1908" s="5">
        <v>18408.849999999999</v>
      </c>
      <c r="U1908" s="5">
        <v>7937.9</v>
      </c>
      <c r="V1908" s="5">
        <v>7330.4</v>
      </c>
      <c r="W1908" s="5">
        <v>3140.55</v>
      </c>
    </row>
    <row r="1909" spans="1:23" ht="60.75">
      <c r="A1909" s="3" t="s">
        <v>23</v>
      </c>
      <c r="B1909" s="3" t="s">
        <v>24</v>
      </c>
      <c r="C1909" s="3" t="s">
        <v>35</v>
      </c>
      <c r="D1909" s="3" t="s">
        <v>39</v>
      </c>
      <c r="E1909" s="3" t="s">
        <v>32</v>
      </c>
      <c r="F1909" s="3" t="s">
        <v>69</v>
      </c>
      <c r="G1909" s="3">
        <v>2016</v>
      </c>
      <c r="H1909" s="3" t="str">
        <f>CONCATENATE("64240503330")</f>
        <v>64240503330</v>
      </c>
      <c r="I1909" s="3" t="s">
        <v>25</v>
      </c>
      <c r="J1909" s="3" t="s">
        <v>26</v>
      </c>
      <c r="K1909" s="3" t="str">
        <f t="shared" si="61"/>
        <v/>
      </c>
      <c r="L1909" s="3" t="str">
        <f>CONCATENATE("11 11.2 4b")</f>
        <v>11 11.2 4b</v>
      </c>
      <c r="M1909" s="3" t="str">
        <f>CONCATENATE("BNTBRN64L28I461M")</f>
        <v>BNTBRN64L28I461M</v>
      </c>
      <c r="N1909" s="3" t="s">
        <v>1912</v>
      </c>
      <c r="O1909" s="3"/>
      <c r="P1909" s="4">
        <v>42783</v>
      </c>
      <c r="Q1909" s="3" t="s">
        <v>27</v>
      </c>
      <c r="R1909" s="3" t="s">
        <v>28</v>
      </c>
      <c r="S1909" s="3" t="s">
        <v>29</v>
      </c>
      <c r="T1909" s="5">
        <v>1520.56</v>
      </c>
      <c r="U1909" s="3">
        <v>655.67</v>
      </c>
      <c r="V1909" s="3">
        <v>605.49</v>
      </c>
      <c r="W1909" s="3">
        <v>259.39999999999998</v>
      </c>
    </row>
    <row r="1910" spans="1:23" ht="36.75">
      <c r="A1910" s="3" t="s">
        <v>23</v>
      </c>
      <c r="B1910" s="3" t="s">
        <v>24</v>
      </c>
      <c r="C1910" s="3" t="s">
        <v>35</v>
      </c>
      <c r="D1910" s="3" t="s">
        <v>36</v>
      </c>
      <c r="E1910" s="3" t="s">
        <v>30</v>
      </c>
      <c r="F1910" s="3" t="s">
        <v>86</v>
      </c>
      <c r="G1910" s="3">
        <v>2016</v>
      </c>
      <c r="H1910" s="3" t="str">
        <f>CONCATENATE("64240800579")</f>
        <v>64240800579</v>
      </c>
      <c r="I1910" s="3" t="s">
        <v>25</v>
      </c>
      <c r="J1910" s="3" t="s">
        <v>26</v>
      </c>
      <c r="K1910" s="3" t="str">
        <f t="shared" si="61"/>
        <v/>
      </c>
      <c r="L1910" s="3" t="str">
        <f>CONCATENATE("11 11.2 4b")</f>
        <v>11 11.2 4b</v>
      </c>
      <c r="M1910" s="3" t="str">
        <f>CONCATENATE("01561610443")</f>
        <v>01561610443</v>
      </c>
      <c r="N1910" s="3" t="s">
        <v>1913</v>
      </c>
      <c r="O1910" s="3"/>
      <c r="P1910" s="4">
        <v>42783</v>
      </c>
      <c r="Q1910" s="3" t="s">
        <v>27</v>
      </c>
      <c r="R1910" s="3" t="s">
        <v>28</v>
      </c>
      <c r="S1910" s="3" t="s">
        <v>29</v>
      </c>
      <c r="T1910" s="5">
        <v>1613.84</v>
      </c>
      <c r="U1910" s="3">
        <v>695.89</v>
      </c>
      <c r="V1910" s="3">
        <v>642.63</v>
      </c>
      <c r="W1910" s="3">
        <v>275.32</v>
      </c>
    </row>
    <row r="1911" spans="1:23" ht="60.75">
      <c r="A1911" s="3" t="s">
        <v>23</v>
      </c>
      <c r="B1911" s="3" t="s">
        <v>24</v>
      </c>
      <c r="C1911" s="3" t="s">
        <v>35</v>
      </c>
      <c r="D1911" s="3" t="s">
        <v>43</v>
      </c>
      <c r="E1911" s="3" t="s">
        <v>49</v>
      </c>
      <c r="F1911" s="3" t="s">
        <v>139</v>
      </c>
      <c r="G1911" s="3">
        <v>2016</v>
      </c>
      <c r="H1911" s="3" t="str">
        <f>CONCATENATE("64240816021")</f>
        <v>64240816021</v>
      </c>
      <c r="I1911" s="3" t="s">
        <v>25</v>
      </c>
      <c r="J1911" s="3" t="s">
        <v>26</v>
      </c>
      <c r="K1911" s="3" t="str">
        <f t="shared" si="61"/>
        <v/>
      </c>
      <c r="L1911" s="3" t="str">
        <f>CONCATENATE("11 11.2 4b")</f>
        <v>11 11.2 4b</v>
      </c>
      <c r="M1911" s="3" t="str">
        <f>CONCATENATE("GMBGRL67S12L500N")</f>
        <v>GMBGRL67S12L500N</v>
      </c>
      <c r="N1911" s="3" t="s">
        <v>1914</v>
      </c>
      <c r="O1911" s="3"/>
      <c r="P1911" s="4">
        <v>42783</v>
      </c>
      <c r="Q1911" s="3" t="s">
        <v>27</v>
      </c>
      <c r="R1911" s="3" t="s">
        <v>28</v>
      </c>
      <c r="S1911" s="3" t="s">
        <v>29</v>
      </c>
      <c r="T1911" s="5">
        <v>26172.720000000001</v>
      </c>
      <c r="U1911" s="5">
        <v>11285.68</v>
      </c>
      <c r="V1911" s="5">
        <v>10421.98</v>
      </c>
      <c r="W1911" s="5">
        <v>4465.0600000000004</v>
      </c>
    </row>
    <row r="1912" spans="1:23" ht="72.75">
      <c r="A1912" s="3" t="s">
        <v>23</v>
      </c>
      <c r="B1912" s="3" t="s">
        <v>24</v>
      </c>
      <c r="C1912" s="3" t="s">
        <v>35</v>
      </c>
      <c r="D1912" s="3" t="s">
        <v>36</v>
      </c>
      <c r="E1912" s="3" t="s">
        <v>42</v>
      </c>
      <c r="F1912" s="3" t="s">
        <v>42</v>
      </c>
      <c r="G1912" s="3">
        <v>2016</v>
      </c>
      <c r="H1912" s="3" t="str">
        <f>CONCATENATE("64240076600")</f>
        <v>64240076600</v>
      </c>
      <c r="I1912" s="3" t="s">
        <v>25</v>
      </c>
      <c r="J1912" s="3" t="s">
        <v>26</v>
      </c>
      <c r="K1912" s="3" t="str">
        <f t="shared" si="61"/>
        <v/>
      </c>
      <c r="L1912" s="3" t="str">
        <f>CONCATENATE("11 11.2 4b")</f>
        <v>11 11.2 4b</v>
      </c>
      <c r="M1912" s="3" t="str">
        <f>CONCATENATE("VGNTNN49A18H321N")</f>
        <v>VGNTNN49A18H321N</v>
      </c>
      <c r="N1912" s="3" t="s">
        <v>1915</v>
      </c>
      <c r="O1912" s="3"/>
      <c r="P1912" s="4">
        <v>42783</v>
      </c>
      <c r="Q1912" s="3" t="s">
        <v>27</v>
      </c>
      <c r="R1912" s="3" t="s">
        <v>28</v>
      </c>
      <c r="S1912" s="3" t="s">
        <v>29</v>
      </c>
      <c r="T1912" s="5">
        <v>5677.23</v>
      </c>
      <c r="U1912" s="5">
        <v>2448.02</v>
      </c>
      <c r="V1912" s="5">
        <v>2260.67</v>
      </c>
      <c r="W1912" s="3">
        <v>968.54</v>
      </c>
    </row>
    <row r="1913" spans="1:23" ht="60.75">
      <c r="A1913" s="3" t="s">
        <v>23</v>
      </c>
      <c r="B1913" s="3" t="s">
        <v>24</v>
      </c>
      <c r="C1913" s="3" t="s">
        <v>35</v>
      </c>
      <c r="D1913" s="3" t="s">
        <v>43</v>
      </c>
      <c r="E1913" s="3" t="s">
        <v>49</v>
      </c>
      <c r="F1913" s="3" t="s">
        <v>276</v>
      </c>
      <c r="G1913" s="3">
        <v>2016</v>
      </c>
      <c r="H1913" s="3" t="str">
        <f>CONCATENATE("64240703716")</f>
        <v>64240703716</v>
      </c>
      <c r="I1913" s="3" t="s">
        <v>25</v>
      </c>
      <c r="J1913" s="3" t="s">
        <v>26</v>
      </c>
      <c r="K1913" s="3" t="str">
        <f t="shared" si="61"/>
        <v/>
      </c>
      <c r="L1913" s="3" t="str">
        <f>CONCATENATE("11 11.2 4b")</f>
        <v>11 11.2 4b</v>
      </c>
      <c r="M1913" s="3" t="str">
        <f>CONCATENATE("CPPRLA43H16L498H")</f>
        <v>CPPRLA43H16L498H</v>
      </c>
      <c r="N1913" s="3" t="s">
        <v>1916</v>
      </c>
      <c r="O1913" s="3"/>
      <c r="P1913" s="4">
        <v>42783</v>
      </c>
      <c r="Q1913" s="3" t="s">
        <v>27</v>
      </c>
      <c r="R1913" s="3" t="s">
        <v>28</v>
      </c>
      <c r="S1913" s="3" t="s">
        <v>29</v>
      </c>
      <c r="T1913" s="5">
        <v>5590.93</v>
      </c>
      <c r="U1913" s="5">
        <v>2410.81</v>
      </c>
      <c r="V1913" s="5">
        <v>2226.31</v>
      </c>
      <c r="W1913" s="3">
        <v>953.81</v>
      </c>
    </row>
    <row r="1914" spans="1:23" ht="60.75">
      <c r="A1914" s="3" t="s">
        <v>23</v>
      </c>
      <c r="B1914" s="3" t="s">
        <v>24</v>
      </c>
      <c r="C1914" s="3" t="s">
        <v>35</v>
      </c>
      <c r="D1914" s="3" t="s">
        <v>48</v>
      </c>
      <c r="E1914" s="3" t="s">
        <v>30</v>
      </c>
      <c r="F1914" s="3" t="s">
        <v>91</v>
      </c>
      <c r="G1914" s="3">
        <v>2016</v>
      </c>
      <c r="H1914" s="3" t="str">
        <f>CONCATENATE("64210512311")</f>
        <v>64210512311</v>
      </c>
      <c r="I1914" s="3" t="s">
        <v>25</v>
      </c>
      <c r="J1914" s="3" t="s">
        <v>26</v>
      </c>
      <c r="K1914" s="3" t="str">
        <f t="shared" si="61"/>
        <v/>
      </c>
      <c r="L1914" s="3" t="str">
        <f>CONCATENATE("13 13.1 4a")</f>
        <v>13 13.1 4a</v>
      </c>
      <c r="M1914" s="3" t="str">
        <f>CONCATENATE("CCLMRA44R01D564F")</f>
        <v>CCLMRA44R01D564F</v>
      </c>
      <c r="N1914" s="3" t="s">
        <v>1917</v>
      </c>
      <c r="O1914" s="3"/>
      <c r="P1914" s="4">
        <v>42783</v>
      </c>
      <c r="Q1914" s="3" t="s">
        <v>27</v>
      </c>
      <c r="R1914" s="3" t="s">
        <v>28</v>
      </c>
      <c r="S1914" s="3" t="s">
        <v>29</v>
      </c>
      <c r="T1914" s="5">
        <v>2359.4</v>
      </c>
      <c r="U1914" s="5">
        <v>1017.37</v>
      </c>
      <c r="V1914" s="3">
        <v>939.51</v>
      </c>
      <c r="W1914" s="3">
        <v>402.52</v>
      </c>
    </row>
    <row r="1915" spans="1:23" ht="36.75">
      <c r="A1915" s="3" t="s">
        <v>23</v>
      </c>
      <c r="B1915" s="3" t="s">
        <v>24</v>
      </c>
      <c r="C1915" s="3" t="s">
        <v>35</v>
      </c>
      <c r="D1915" s="3" t="s">
        <v>48</v>
      </c>
      <c r="E1915" s="3" t="s">
        <v>30</v>
      </c>
      <c r="F1915" s="3" t="s">
        <v>91</v>
      </c>
      <c r="G1915" s="3">
        <v>2016</v>
      </c>
      <c r="H1915" s="3" t="str">
        <f>CONCATENATE("64210535817")</f>
        <v>64210535817</v>
      </c>
      <c r="I1915" s="3" t="s">
        <v>25</v>
      </c>
      <c r="J1915" s="3" t="s">
        <v>26</v>
      </c>
      <c r="K1915" s="3" t="str">
        <f t="shared" si="61"/>
        <v/>
      </c>
      <c r="L1915" s="3" t="str">
        <f>CONCATENATE("13 13.1 4a")</f>
        <v>13 13.1 4a</v>
      </c>
      <c r="M1915" s="3" t="str">
        <f>CONCATENATE("00395910433")</f>
        <v>00395910433</v>
      </c>
      <c r="N1915" s="3" t="s">
        <v>1196</v>
      </c>
      <c r="O1915" s="3"/>
      <c r="P1915" s="4">
        <v>42783</v>
      </c>
      <c r="Q1915" s="3" t="s">
        <v>27</v>
      </c>
      <c r="R1915" s="3" t="s">
        <v>28</v>
      </c>
      <c r="S1915" s="3" t="s">
        <v>29</v>
      </c>
      <c r="T1915" s="5">
        <v>5400</v>
      </c>
      <c r="U1915" s="5">
        <v>2328.48</v>
      </c>
      <c r="V1915" s="5">
        <v>2150.2800000000002</v>
      </c>
      <c r="W1915" s="3">
        <v>921.24</v>
      </c>
    </row>
    <row r="1916" spans="1:23" ht="60.75">
      <c r="A1916" s="3" t="s">
        <v>23</v>
      </c>
      <c r="B1916" s="3" t="s">
        <v>24</v>
      </c>
      <c r="C1916" s="3" t="s">
        <v>35</v>
      </c>
      <c r="D1916" s="3" t="s">
        <v>39</v>
      </c>
      <c r="E1916" s="3" t="s">
        <v>32</v>
      </c>
      <c r="F1916" s="3" t="s">
        <v>117</v>
      </c>
      <c r="G1916" s="3">
        <v>2016</v>
      </c>
      <c r="H1916" s="3" t="str">
        <f>CONCATENATE("64240486254")</f>
        <v>64240486254</v>
      </c>
      <c r="I1916" s="3" t="s">
        <v>25</v>
      </c>
      <c r="J1916" s="3" t="s">
        <v>26</v>
      </c>
      <c r="K1916" s="3" t="str">
        <f t="shared" si="61"/>
        <v/>
      </c>
      <c r="L1916" s="3" t="str">
        <f>CONCATENATE("11 11.1 4b")</f>
        <v>11 11.1 4b</v>
      </c>
      <c r="M1916" s="3" t="str">
        <f>CONCATENATE("RSSTMS38P08D542Z")</f>
        <v>RSSTMS38P08D542Z</v>
      </c>
      <c r="N1916" s="3" t="s">
        <v>1918</v>
      </c>
      <c r="O1916" s="3"/>
      <c r="P1916" s="4">
        <v>42783</v>
      </c>
      <c r="Q1916" s="3" t="s">
        <v>27</v>
      </c>
      <c r="R1916" s="3" t="s">
        <v>28</v>
      </c>
      <c r="S1916" s="3" t="s">
        <v>29</v>
      </c>
      <c r="T1916" s="5">
        <v>6342.12</v>
      </c>
      <c r="U1916" s="5">
        <v>2734.72</v>
      </c>
      <c r="V1916" s="5">
        <v>2525.4299999999998</v>
      </c>
      <c r="W1916" s="5">
        <v>1081.97</v>
      </c>
    </row>
    <row r="1917" spans="1:23" ht="60.75">
      <c r="A1917" s="3" t="s">
        <v>23</v>
      </c>
      <c r="B1917" s="3" t="s">
        <v>24</v>
      </c>
      <c r="C1917" s="3" t="s">
        <v>35</v>
      </c>
      <c r="D1917" s="3" t="s">
        <v>39</v>
      </c>
      <c r="E1917" s="3" t="s">
        <v>32</v>
      </c>
      <c r="F1917" s="3" t="s">
        <v>69</v>
      </c>
      <c r="G1917" s="3">
        <v>2016</v>
      </c>
      <c r="H1917" s="3" t="str">
        <f>CONCATENATE("64240586244")</f>
        <v>64240586244</v>
      </c>
      <c r="I1917" s="3" t="s">
        <v>25</v>
      </c>
      <c r="J1917" s="3" t="s">
        <v>26</v>
      </c>
      <c r="K1917" s="3" t="str">
        <f t="shared" si="61"/>
        <v/>
      </c>
      <c r="L1917" s="3" t="str">
        <f>CONCATENATE("11 11.1 4b")</f>
        <v>11 11.1 4b</v>
      </c>
      <c r="M1917" s="3" t="str">
        <f>CONCATENATE("PSTNRC45S59D451X")</f>
        <v>PSTNRC45S59D451X</v>
      </c>
      <c r="N1917" s="3" t="s">
        <v>1919</v>
      </c>
      <c r="O1917" s="3"/>
      <c r="P1917" s="4">
        <v>42783</v>
      </c>
      <c r="Q1917" s="3" t="s">
        <v>27</v>
      </c>
      <c r="R1917" s="3" t="s">
        <v>28</v>
      </c>
      <c r="S1917" s="3" t="s">
        <v>29</v>
      </c>
      <c r="T1917" s="5">
        <v>6429.09</v>
      </c>
      <c r="U1917" s="5">
        <v>2772.22</v>
      </c>
      <c r="V1917" s="5">
        <v>2560.06</v>
      </c>
      <c r="W1917" s="5">
        <v>1096.81</v>
      </c>
    </row>
    <row r="1918" spans="1:23" ht="60.75">
      <c r="A1918" s="3" t="s">
        <v>23</v>
      </c>
      <c r="B1918" s="3" t="s">
        <v>24</v>
      </c>
      <c r="C1918" s="3" t="s">
        <v>35</v>
      </c>
      <c r="D1918" s="3" t="s">
        <v>36</v>
      </c>
      <c r="E1918" s="3" t="s">
        <v>30</v>
      </c>
      <c r="F1918" s="3" t="s">
        <v>157</v>
      </c>
      <c r="G1918" s="3">
        <v>2016</v>
      </c>
      <c r="H1918" s="3" t="str">
        <f>CONCATENATE("64210783888")</f>
        <v>64210783888</v>
      </c>
      <c r="I1918" s="3" t="s">
        <v>25</v>
      </c>
      <c r="J1918" s="3" t="s">
        <v>26</v>
      </c>
      <c r="K1918" s="3" t="str">
        <f t="shared" si="61"/>
        <v/>
      </c>
      <c r="L1918" s="3" t="str">
        <f>CONCATENATE("13 13.1 4a")</f>
        <v>13 13.1 4a</v>
      </c>
      <c r="M1918" s="3" t="str">
        <f>CONCATENATE("LSNCRN77E60A462V")</f>
        <v>LSNCRN77E60A462V</v>
      </c>
      <c r="N1918" s="3" t="s">
        <v>1920</v>
      </c>
      <c r="O1918" s="3"/>
      <c r="P1918" s="4">
        <v>42783</v>
      </c>
      <c r="Q1918" s="3" t="s">
        <v>27</v>
      </c>
      <c r="R1918" s="3" t="s">
        <v>28</v>
      </c>
      <c r="S1918" s="3" t="s">
        <v>29</v>
      </c>
      <c r="T1918" s="5">
        <v>5400</v>
      </c>
      <c r="U1918" s="5">
        <v>2328.48</v>
      </c>
      <c r="V1918" s="5">
        <v>2150.2800000000002</v>
      </c>
      <c r="W1918" s="3">
        <v>921.24</v>
      </c>
    </row>
    <row r="1919" spans="1:23" ht="60.75">
      <c r="A1919" s="3" t="s">
        <v>23</v>
      </c>
      <c r="B1919" s="3" t="s">
        <v>24</v>
      </c>
      <c r="C1919" s="3" t="s">
        <v>35</v>
      </c>
      <c r="D1919" s="3" t="s">
        <v>48</v>
      </c>
      <c r="E1919" s="3" t="s">
        <v>49</v>
      </c>
      <c r="F1919" s="3" t="s">
        <v>80</v>
      </c>
      <c r="G1919" s="3">
        <v>2016</v>
      </c>
      <c r="H1919" s="3" t="str">
        <f>CONCATENATE("64240260915")</f>
        <v>64240260915</v>
      </c>
      <c r="I1919" s="3" t="s">
        <v>25</v>
      </c>
      <c r="J1919" s="3" t="s">
        <v>26</v>
      </c>
      <c r="K1919" s="3" t="str">
        <f t="shared" si="61"/>
        <v/>
      </c>
      <c r="L1919" s="3" t="str">
        <f>CONCATENATE("11 11.2 4b")</f>
        <v>11 11.2 4b</v>
      </c>
      <c r="M1919" s="3" t="str">
        <f>CONCATENATE("CRRMCL57D20B474K")</f>
        <v>CRRMCL57D20B474K</v>
      </c>
      <c r="N1919" s="3" t="s">
        <v>1921</v>
      </c>
      <c r="O1919" s="3"/>
      <c r="P1919" s="4">
        <v>42783</v>
      </c>
      <c r="Q1919" s="3" t="s">
        <v>27</v>
      </c>
      <c r="R1919" s="3" t="s">
        <v>28</v>
      </c>
      <c r="S1919" s="3" t="s">
        <v>29</v>
      </c>
      <c r="T1919" s="5">
        <v>10025.629999999999</v>
      </c>
      <c r="U1919" s="5">
        <v>4323.05</v>
      </c>
      <c r="V1919" s="5">
        <v>3992.21</v>
      </c>
      <c r="W1919" s="5">
        <v>1710.37</v>
      </c>
    </row>
    <row r="1920" spans="1:23" ht="36.75">
      <c r="A1920" s="3" t="s">
        <v>23</v>
      </c>
      <c r="B1920" s="3" t="s">
        <v>24</v>
      </c>
      <c r="C1920" s="3" t="s">
        <v>35</v>
      </c>
      <c r="D1920" s="3" t="s">
        <v>43</v>
      </c>
      <c r="E1920" s="3" t="s">
        <v>49</v>
      </c>
      <c r="F1920" s="3" t="s">
        <v>139</v>
      </c>
      <c r="G1920" s="3">
        <v>2016</v>
      </c>
      <c r="H1920" s="3" t="str">
        <f>CONCATENATE("64211148685")</f>
        <v>64211148685</v>
      </c>
      <c r="I1920" s="3" t="s">
        <v>25</v>
      </c>
      <c r="J1920" s="3" t="s">
        <v>26</v>
      </c>
      <c r="K1920" s="3" t="str">
        <f t="shared" si="61"/>
        <v/>
      </c>
      <c r="L1920" s="3" t="str">
        <f>CONCATENATE("13 13.1 4a")</f>
        <v>13 13.1 4a</v>
      </c>
      <c r="M1920" s="3" t="str">
        <f>CONCATENATE("02402330415")</f>
        <v>02402330415</v>
      </c>
      <c r="N1920" s="3" t="s">
        <v>912</v>
      </c>
      <c r="O1920" s="3"/>
      <c r="P1920" s="4">
        <v>42783</v>
      </c>
      <c r="Q1920" s="3" t="s">
        <v>27</v>
      </c>
      <c r="R1920" s="3" t="s">
        <v>28</v>
      </c>
      <c r="S1920" s="3" t="s">
        <v>29</v>
      </c>
      <c r="T1920" s="5">
        <v>3568.03</v>
      </c>
      <c r="U1920" s="5">
        <v>1538.53</v>
      </c>
      <c r="V1920" s="5">
        <v>1420.79</v>
      </c>
      <c r="W1920" s="3">
        <v>608.71</v>
      </c>
    </row>
    <row r="1921" spans="1:23" ht="60.75">
      <c r="A1921" s="3" t="s">
        <v>23</v>
      </c>
      <c r="B1921" s="3" t="s">
        <v>24</v>
      </c>
      <c r="C1921" s="3" t="s">
        <v>35</v>
      </c>
      <c r="D1921" s="3" t="s">
        <v>48</v>
      </c>
      <c r="E1921" s="3" t="s">
        <v>30</v>
      </c>
      <c r="F1921" s="3" t="s">
        <v>111</v>
      </c>
      <c r="G1921" s="3">
        <v>2016</v>
      </c>
      <c r="H1921" s="3" t="str">
        <f>CONCATENATE("64240845491")</f>
        <v>64240845491</v>
      </c>
      <c r="I1921" s="3" t="s">
        <v>25</v>
      </c>
      <c r="J1921" s="3" t="s">
        <v>26</v>
      </c>
      <c r="K1921" s="3" t="str">
        <f t="shared" si="61"/>
        <v/>
      </c>
      <c r="L1921" s="3" t="str">
        <f>CONCATENATE("11 11.2 4b")</f>
        <v>11 11.2 4b</v>
      </c>
      <c r="M1921" s="3" t="str">
        <f>CONCATENATE("VLLMPL52R51C877U")</f>
        <v>VLLMPL52R51C877U</v>
      </c>
      <c r="N1921" s="3" t="s">
        <v>1922</v>
      </c>
      <c r="O1921" s="3"/>
      <c r="P1921" s="4">
        <v>42783</v>
      </c>
      <c r="Q1921" s="3" t="s">
        <v>27</v>
      </c>
      <c r="R1921" s="3" t="s">
        <v>28</v>
      </c>
      <c r="S1921" s="3" t="s">
        <v>29</v>
      </c>
      <c r="T1921" s="5">
        <v>1226.8800000000001</v>
      </c>
      <c r="U1921" s="3">
        <v>529.03</v>
      </c>
      <c r="V1921" s="3">
        <v>488.54</v>
      </c>
      <c r="W1921" s="3">
        <v>209.31</v>
      </c>
    </row>
    <row r="1922" spans="1:23" ht="60.75">
      <c r="A1922" s="3" t="s">
        <v>23</v>
      </c>
      <c r="B1922" s="3" t="s">
        <v>24</v>
      </c>
      <c r="C1922" s="3" t="s">
        <v>35</v>
      </c>
      <c r="D1922" s="3" t="s">
        <v>43</v>
      </c>
      <c r="E1922" s="3" t="s">
        <v>30</v>
      </c>
      <c r="F1922" s="3" t="s">
        <v>131</v>
      </c>
      <c r="G1922" s="3">
        <v>2016</v>
      </c>
      <c r="H1922" s="3" t="str">
        <f>CONCATENATE("64210715864")</f>
        <v>64210715864</v>
      </c>
      <c r="I1922" s="3" t="s">
        <v>25</v>
      </c>
      <c r="J1922" s="3" t="s">
        <v>26</v>
      </c>
      <c r="K1922" s="3" t="str">
        <f t="shared" si="61"/>
        <v/>
      </c>
      <c r="L1922" s="3" t="str">
        <f>CONCATENATE("13 13.1 4a")</f>
        <v>13 13.1 4a</v>
      </c>
      <c r="M1922" s="3" t="str">
        <f>CONCATENATE("CCCPLA67R27D488P")</f>
        <v>CCCPLA67R27D488P</v>
      </c>
      <c r="N1922" s="3" t="s">
        <v>1923</v>
      </c>
      <c r="O1922" s="3"/>
      <c r="P1922" s="4">
        <v>42783</v>
      </c>
      <c r="Q1922" s="3" t="s">
        <v>27</v>
      </c>
      <c r="R1922" s="3" t="s">
        <v>28</v>
      </c>
      <c r="S1922" s="3" t="s">
        <v>29</v>
      </c>
      <c r="T1922" s="3">
        <v>538.62</v>
      </c>
      <c r="U1922" s="3">
        <v>232.25</v>
      </c>
      <c r="V1922" s="3">
        <v>214.48</v>
      </c>
      <c r="W1922" s="3">
        <v>91.89</v>
      </c>
    </row>
    <row r="1923" spans="1:23" ht="72.75">
      <c r="A1923" s="3" t="s">
        <v>23</v>
      </c>
      <c r="B1923" s="3" t="s">
        <v>24</v>
      </c>
      <c r="C1923" s="3" t="s">
        <v>35</v>
      </c>
      <c r="D1923" s="3" t="s">
        <v>36</v>
      </c>
      <c r="E1923" s="3" t="s">
        <v>30</v>
      </c>
      <c r="F1923" s="3" t="s">
        <v>67</v>
      </c>
      <c r="G1923" s="3">
        <v>2016</v>
      </c>
      <c r="H1923" s="3" t="str">
        <f>CONCATENATE("64240357927")</f>
        <v>64240357927</v>
      </c>
      <c r="I1923" s="3" t="s">
        <v>25</v>
      </c>
      <c r="J1923" s="3" t="s">
        <v>26</v>
      </c>
      <c r="K1923" s="3" t="str">
        <f t="shared" si="61"/>
        <v/>
      </c>
      <c r="L1923" s="3" t="str">
        <f>CONCATENATE("11 11.2 4b")</f>
        <v>11 11.2 4b</v>
      </c>
      <c r="M1923" s="3" t="str">
        <f>CONCATENATE("GSPTNN67R10G920U")</f>
        <v>GSPTNN67R10G920U</v>
      </c>
      <c r="N1923" s="3" t="s">
        <v>1924</v>
      </c>
      <c r="O1923" s="3"/>
      <c r="P1923" s="4">
        <v>42783</v>
      </c>
      <c r="Q1923" s="3" t="s">
        <v>27</v>
      </c>
      <c r="R1923" s="3" t="s">
        <v>28</v>
      </c>
      <c r="S1923" s="3" t="s">
        <v>29</v>
      </c>
      <c r="T1923" s="5">
        <v>1113.99</v>
      </c>
      <c r="U1923" s="3">
        <v>480.35</v>
      </c>
      <c r="V1923" s="3">
        <v>443.59</v>
      </c>
      <c r="W1923" s="3">
        <v>190.05</v>
      </c>
    </row>
    <row r="1924" spans="1:23" ht="60.75">
      <c r="A1924" s="3" t="s">
        <v>23</v>
      </c>
      <c r="B1924" s="3" t="s">
        <v>24</v>
      </c>
      <c r="C1924" s="3" t="s">
        <v>35</v>
      </c>
      <c r="D1924" s="3" t="s">
        <v>36</v>
      </c>
      <c r="E1924" s="3" t="s">
        <v>30</v>
      </c>
      <c r="F1924" s="3" t="s">
        <v>37</v>
      </c>
      <c r="G1924" s="3">
        <v>2016</v>
      </c>
      <c r="H1924" s="3" t="str">
        <f>CONCATENATE("64210390924")</f>
        <v>64210390924</v>
      </c>
      <c r="I1924" s="3" t="s">
        <v>25</v>
      </c>
      <c r="J1924" s="3" t="s">
        <v>26</v>
      </c>
      <c r="K1924" s="3" t="str">
        <f t="shared" si="61"/>
        <v/>
      </c>
      <c r="L1924" s="3" t="str">
        <f>CONCATENATE("13 13.1 4a")</f>
        <v>13 13.1 4a</v>
      </c>
      <c r="M1924" s="3" t="str">
        <f>CONCATENATE("VTLPNI65C19A252I")</f>
        <v>VTLPNI65C19A252I</v>
      </c>
      <c r="N1924" s="3" t="s">
        <v>1925</v>
      </c>
      <c r="O1924" s="3"/>
      <c r="P1924" s="4">
        <v>42783</v>
      </c>
      <c r="Q1924" s="3" t="s">
        <v>27</v>
      </c>
      <c r="R1924" s="3" t="s">
        <v>28</v>
      </c>
      <c r="S1924" s="3" t="s">
        <v>29</v>
      </c>
      <c r="T1924" s="5">
        <v>1918.14</v>
      </c>
      <c r="U1924" s="3">
        <v>827.1</v>
      </c>
      <c r="V1924" s="3">
        <v>763.8</v>
      </c>
      <c r="W1924" s="3">
        <v>327.24</v>
      </c>
    </row>
    <row r="1925" spans="1:23" ht="72.75">
      <c r="A1925" s="3" t="s">
        <v>23</v>
      </c>
      <c r="B1925" s="3" t="s">
        <v>24</v>
      </c>
      <c r="C1925" s="3" t="s">
        <v>35</v>
      </c>
      <c r="D1925" s="3" t="s">
        <v>39</v>
      </c>
      <c r="E1925" s="3" t="s">
        <v>34</v>
      </c>
      <c r="F1925" s="3" t="s">
        <v>170</v>
      </c>
      <c r="G1925" s="3">
        <v>2016</v>
      </c>
      <c r="H1925" s="3" t="str">
        <f>CONCATENATE("64240500583")</f>
        <v>64240500583</v>
      </c>
      <c r="I1925" s="3" t="s">
        <v>31</v>
      </c>
      <c r="J1925" s="3" t="s">
        <v>26</v>
      </c>
      <c r="K1925" s="3" t="str">
        <f t="shared" si="61"/>
        <v/>
      </c>
      <c r="L1925" s="3" t="str">
        <f>CONCATENATE("11 11.1 4b")</f>
        <v>11 11.1 4b</v>
      </c>
      <c r="M1925" s="3" t="str">
        <f>CONCATENATE("MRCMRZ58H10A271H")</f>
        <v>MRCMRZ58H10A271H</v>
      </c>
      <c r="N1925" s="3" t="s">
        <v>1926</v>
      </c>
      <c r="O1925" s="3"/>
      <c r="P1925" s="4">
        <v>42783</v>
      </c>
      <c r="Q1925" s="3" t="s">
        <v>27</v>
      </c>
      <c r="R1925" s="3" t="s">
        <v>28</v>
      </c>
      <c r="S1925" s="3" t="s">
        <v>29</v>
      </c>
      <c r="T1925" s="5">
        <v>17058.73</v>
      </c>
      <c r="U1925" s="5">
        <v>7355.72</v>
      </c>
      <c r="V1925" s="5">
        <v>6792.79</v>
      </c>
      <c r="W1925" s="5">
        <v>2910.22</v>
      </c>
    </row>
    <row r="1926" spans="1:23" ht="60.75">
      <c r="A1926" s="3" t="s">
        <v>23</v>
      </c>
      <c r="B1926" s="3" t="s">
        <v>24</v>
      </c>
      <c r="C1926" s="3" t="s">
        <v>35</v>
      </c>
      <c r="D1926" s="3" t="s">
        <v>48</v>
      </c>
      <c r="E1926" s="3" t="s">
        <v>34</v>
      </c>
      <c r="F1926" s="3" t="s">
        <v>141</v>
      </c>
      <c r="G1926" s="3">
        <v>2016</v>
      </c>
      <c r="H1926" s="3" t="str">
        <f>CONCATENATE("64240481263")</f>
        <v>64240481263</v>
      </c>
      <c r="I1926" s="3" t="s">
        <v>25</v>
      </c>
      <c r="J1926" s="3" t="s">
        <v>26</v>
      </c>
      <c r="K1926" s="3" t="str">
        <f t="shared" si="61"/>
        <v/>
      </c>
      <c r="L1926" s="3" t="str">
        <f>CONCATENATE("11 11.2 4b")</f>
        <v>11 11.2 4b</v>
      </c>
      <c r="M1926" s="3" t="str">
        <f>CONCATENATE("RCCCLD60E31I324Z")</f>
        <v>RCCCLD60E31I324Z</v>
      </c>
      <c r="N1926" s="3" t="s">
        <v>1927</v>
      </c>
      <c r="O1926" s="3"/>
      <c r="P1926" s="4">
        <v>42783</v>
      </c>
      <c r="Q1926" s="3" t="s">
        <v>27</v>
      </c>
      <c r="R1926" s="3" t="s">
        <v>28</v>
      </c>
      <c r="S1926" s="3" t="s">
        <v>29</v>
      </c>
      <c r="T1926" s="3">
        <v>821.93</v>
      </c>
      <c r="U1926" s="3">
        <v>354.42</v>
      </c>
      <c r="V1926" s="3">
        <v>327.29000000000002</v>
      </c>
      <c r="W1926" s="3">
        <v>140.22</v>
      </c>
    </row>
    <row r="1927" spans="1:23" ht="60.75">
      <c r="A1927" s="3" t="s">
        <v>23</v>
      </c>
      <c r="B1927" s="3" t="s">
        <v>24</v>
      </c>
      <c r="C1927" s="3" t="s">
        <v>35</v>
      </c>
      <c r="D1927" s="3" t="s">
        <v>43</v>
      </c>
      <c r="E1927" s="3" t="s">
        <v>32</v>
      </c>
      <c r="F1927" s="3" t="s">
        <v>119</v>
      </c>
      <c r="G1927" s="3">
        <v>2016</v>
      </c>
      <c r="H1927" s="3" t="str">
        <f>CONCATENATE("64240188793")</f>
        <v>64240188793</v>
      </c>
      <c r="I1927" s="3" t="s">
        <v>25</v>
      </c>
      <c r="J1927" s="3" t="s">
        <v>26</v>
      </c>
      <c r="K1927" s="3" t="str">
        <f t="shared" si="61"/>
        <v/>
      </c>
      <c r="L1927" s="3" t="str">
        <f>CONCATENATE("11 11.2 4b")</f>
        <v>11 11.2 4b</v>
      </c>
      <c r="M1927" s="3" t="str">
        <f>CONCATENATE("BRNLML56P56C523N")</f>
        <v>BRNLML56P56C523N</v>
      </c>
      <c r="N1927" s="3" t="s">
        <v>1928</v>
      </c>
      <c r="O1927" s="3"/>
      <c r="P1927" s="4">
        <v>42783</v>
      </c>
      <c r="Q1927" s="3" t="s">
        <v>27</v>
      </c>
      <c r="R1927" s="3" t="s">
        <v>28</v>
      </c>
      <c r="S1927" s="3" t="s">
        <v>29</v>
      </c>
      <c r="T1927" s="5">
        <v>1512.26</v>
      </c>
      <c r="U1927" s="3">
        <v>652.09</v>
      </c>
      <c r="V1927" s="3">
        <v>602.17999999999995</v>
      </c>
      <c r="W1927" s="3">
        <v>257.99</v>
      </c>
    </row>
    <row r="1928" spans="1:23" ht="36.75">
      <c r="A1928" s="3" t="s">
        <v>23</v>
      </c>
      <c r="B1928" s="3" t="s">
        <v>24</v>
      </c>
      <c r="C1928" s="3" t="s">
        <v>35</v>
      </c>
      <c r="D1928" s="3" t="s">
        <v>36</v>
      </c>
      <c r="E1928" s="3" t="s">
        <v>33</v>
      </c>
      <c r="F1928" s="3" t="s">
        <v>89</v>
      </c>
      <c r="G1928" s="3">
        <v>2016</v>
      </c>
      <c r="H1928" s="3" t="str">
        <f>CONCATENATE("64240648192")</f>
        <v>64240648192</v>
      </c>
      <c r="I1928" s="3" t="s">
        <v>25</v>
      </c>
      <c r="J1928" s="3" t="s">
        <v>26</v>
      </c>
      <c r="K1928" s="3" t="str">
        <f t="shared" si="61"/>
        <v/>
      </c>
      <c r="L1928" s="3" t="str">
        <f>CONCATENATE("11 11.2 4b")</f>
        <v>11 11.2 4b</v>
      </c>
      <c r="M1928" s="3" t="str">
        <f>CONCATENATE("01237130446")</f>
        <v>01237130446</v>
      </c>
      <c r="N1928" s="3" t="s">
        <v>1929</v>
      </c>
      <c r="O1928" s="3"/>
      <c r="P1928" s="4">
        <v>42783</v>
      </c>
      <c r="Q1928" s="3" t="s">
        <v>27</v>
      </c>
      <c r="R1928" s="3" t="s">
        <v>28</v>
      </c>
      <c r="S1928" s="3" t="s">
        <v>29</v>
      </c>
      <c r="T1928" s="5">
        <v>4209.71</v>
      </c>
      <c r="U1928" s="5">
        <v>1815.23</v>
      </c>
      <c r="V1928" s="5">
        <v>1676.31</v>
      </c>
      <c r="W1928" s="3">
        <v>718.17</v>
      </c>
    </row>
    <row r="1929" spans="1:23" ht="36.75">
      <c r="A1929" s="3" t="s">
        <v>23</v>
      </c>
      <c r="B1929" s="3" t="s">
        <v>24</v>
      </c>
      <c r="C1929" s="3" t="s">
        <v>35</v>
      </c>
      <c r="D1929" s="3" t="s">
        <v>43</v>
      </c>
      <c r="E1929" s="3" t="s">
        <v>59</v>
      </c>
      <c r="F1929" s="3" t="s">
        <v>662</v>
      </c>
      <c r="G1929" s="3">
        <v>2016</v>
      </c>
      <c r="H1929" s="3" t="str">
        <f>CONCATENATE("64240509931")</f>
        <v>64240509931</v>
      </c>
      <c r="I1929" s="3" t="s">
        <v>25</v>
      </c>
      <c r="J1929" s="3" t="s">
        <v>26</v>
      </c>
      <c r="K1929" s="3" t="str">
        <f t="shared" si="61"/>
        <v/>
      </c>
      <c r="L1929" s="3" t="str">
        <f>CONCATENATE("11 11.1 4b")</f>
        <v>11 11.1 4b</v>
      </c>
      <c r="M1929" s="3" t="str">
        <f>CONCATENATE("02134170410")</f>
        <v>02134170410</v>
      </c>
      <c r="N1929" s="3" t="s">
        <v>1930</v>
      </c>
      <c r="O1929" s="3"/>
      <c r="P1929" s="4">
        <v>42783</v>
      </c>
      <c r="Q1929" s="3" t="s">
        <v>27</v>
      </c>
      <c r="R1929" s="3" t="s">
        <v>28</v>
      </c>
      <c r="S1929" s="3" t="s">
        <v>29</v>
      </c>
      <c r="T1929" s="5">
        <v>3001.47</v>
      </c>
      <c r="U1929" s="5">
        <v>1294.23</v>
      </c>
      <c r="V1929" s="5">
        <v>1195.19</v>
      </c>
      <c r="W1929" s="3">
        <v>512.04999999999995</v>
      </c>
    </row>
    <row r="1930" spans="1:23" ht="36.75">
      <c r="A1930" s="3" t="s">
        <v>23</v>
      </c>
      <c r="B1930" s="3" t="s">
        <v>24</v>
      </c>
      <c r="C1930" s="3" t="s">
        <v>35</v>
      </c>
      <c r="D1930" s="3" t="s">
        <v>36</v>
      </c>
      <c r="E1930" s="3" t="s">
        <v>30</v>
      </c>
      <c r="F1930" s="3" t="s">
        <v>86</v>
      </c>
      <c r="G1930" s="3">
        <v>2016</v>
      </c>
      <c r="H1930" s="3" t="str">
        <f>CONCATENATE("64210944357")</f>
        <v>64210944357</v>
      </c>
      <c r="I1930" s="3" t="s">
        <v>25</v>
      </c>
      <c r="J1930" s="3" t="s">
        <v>26</v>
      </c>
      <c r="K1930" s="3" t="str">
        <f t="shared" si="61"/>
        <v/>
      </c>
      <c r="L1930" s="3" t="str">
        <f>CONCATENATE("13 13.1 4a")</f>
        <v>13 13.1 4a</v>
      </c>
      <c r="M1930" s="3" t="str">
        <f>CONCATENATE("02274720446")</f>
        <v>02274720446</v>
      </c>
      <c r="N1930" s="3" t="s">
        <v>1931</v>
      </c>
      <c r="O1930" s="3"/>
      <c r="P1930" s="4">
        <v>42783</v>
      </c>
      <c r="Q1930" s="3" t="s">
        <v>27</v>
      </c>
      <c r="R1930" s="3" t="s">
        <v>28</v>
      </c>
      <c r="S1930" s="3" t="s">
        <v>29</v>
      </c>
      <c r="T1930" s="3">
        <v>548.69000000000005</v>
      </c>
      <c r="U1930" s="3">
        <v>236.6</v>
      </c>
      <c r="V1930" s="3">
        <v>218.49</v>
      </c>
      <c r="W1930" s="3">
        <v>93.6</v>
      </c>
    </row>
    <row r="1931" spans="1:23" ht="72.75">
      <c r="A1931" s="3" t="s">
        <v>23</v>
      </c>
      <c r="B1931" s="3" t="s">
        <v>24</v>
      </c>
      <c r="C1931" s="3" t="s">
        <v>35</v>
      </c>
      <c r="D1931" s="3" t="s">
        <v>39</v>
      </c>
      <c r="E1931" s="3" t="s">
        <v>30</v>
      </c>
      <c r="F1931" s="3" t="s">
        <v>84</v>
      </c>
      <c r="G1931" s="3">
        <v>2016</v>
      </c>
      <c r="H1931" s="3" t="str">
        <f>CONCATENATE("64240716742")</f>
        <v>64240716742</v>
      </c>
      <c r="I1931" s="3" t="s">
        <v>25</v>
      </c>
      <c r="J1931" s="3" t="s">
        <v>26</v>
      </c>
      <c r="K1931" s="3" t="str">
        <f t="shared" si="61"/>
        <v/>
      </c>
      <c r="L1931" s="3" t="str">
        <f>CONCATENATE("11 11.2 4b")</f>
        <v>11 11.2 4b</v>
      </c>
      <c r="M1931" s="3" t="str">
        <f>CONCATENATE("PTOMSM79H14D451J")</f>
        <v>PTOMSM79H14D451J</v>
      </c>
      <c r="N1931" s="3" t="s">
        <v>1932</v>
      </c>
      <c r="O1931" s="3"/>
      <c r="P1931" s="4">
        <v>42783</v>
      </c>
      <c r="Q1931" s="3" t="s">
        <v>27</v>
      </c>
      <c r="R1931" s="3" t="s">
        <v>28</v>
      </c>
      <c r="S1931" s="3" t="s">
        <v>29</v>
      </c>
      <c r="T1931" s="5">
        <v>7970.37</v>
      </c>
      <c r="U1931" s="5">
        <v>3436.82</v>
      </c>
      <c r="V1931" s="5">
        <v>3173.8</v>
      </c>
      <c r="W1931" s="5">
        <v>1359.75</v>
      </c>
    </row>
    <row r="1932" spans="1:23" ht="60.75">
      <c r="A1932" s="3" t="s">
        <v>23</v>
      </c>
      <c r="B1932" s="3" t="s">
        <v>24</v>
      </c>
      <c r="C1932" s="3" t="s">
        <v>35</v>
      </c>
      <c r="D1932" s="3" t="s">
        <v>43</v>
      </c>
      <c r="E1932" s="3" t="s">
        <v>32</v>
      </c>
      <c r="F1932" s="3" t="s">
        <v>44</v>
      </c>
      <c r="G1932" s="3">
        <v>2016</v>
      </c>
      <c r="H1932" s="3" t="str">
        <f>CONCATENATE("64240502043")</f>
        <v>64240502043</v>
      </c>
      <c r="I1932" s="3" t="s">
        <v>25</v>
      </c>
      <c r="J1932" s="3" t="s">
        <v>26</v>
      </c>
      <c r="K1932" s="3" t="str">
        <f t="shared" si="61"/>
        <v/>
      </c>
      <c r="L1932" s="3" t="str">
        <f>CONCATENATE("11 11.2 4b")</f>
        <v>11 11.2 4b</v>
      </c>
      <c r="M1932" s="3" t="str">
        <f>CONCATENATE("GRSSNT55R69H501S")</f>
        <v>GRSSNT55R69H501S</v>
      </c>
      <c r="N1932" s="3" t="s">
        <v>1933</v>
      </c>
      <c r="O1932" s="3"/>
      <c r="P1932" s="4">
        <v>42783</v>
      </c>
      <c r="Q1932" s="3" t="s">
        <v>27</v>
      </c>
      <c r="R1932" s="3" t="s">
        <v>28</v>
      </c>
      <c r="S1932" s="3" t="s">
        <v>29</v>
      </c>
      <c r="T1932" s="3">
        <v>539.82000000000005</v>
      </c>
      <c r="U1932" s="3">
        <v>232.77</v>
      </c>
      <c r="V1932" s="3">
        <v>214.96</v>
      </c>
      <c r="W1932" s="3">
        <v>92.09</v>
      </c>
    </row>
    <row r="1933" spans="1:23" ht="60.75">
      <c r="A1933" s="3" t="s">
        <v>23</v>
      </c>
      <c r="B1933" s="3" t="s">
        <v>24</v>
      </c>
      <c r="C1933" s="3" t="s">
        <v>35</v>
      </c>
      <c r="D1933" s="3" t="s">
        <v>43</v>
      </c>
      <c r="E1933" s="3" t="s">
        <v>30</v>
      </c>
      <c r="F1933" s="3" t="s">
        <v>131</v>
      </c>
      <c r="G1933" s="3">
        <v>2016</v>
      </c>
      <c r="H1933" s="3" t="str">
        <f>CONCATENATE("64240745758")</f>
        <v>64240745758</v>
      </c>
      <c r="I1933" s="3" t="s">
        <v>25</v>
      </c>
      <c r="J1933" s="3" t="s">
        <v>26</v>
      </c>
      <c r="K1933" s="3" t="str">
        <f t="shared" si="61"/>
        <v/>
      </c>
      <c r="L1933" s="3" t="str">
        <f>CONCATENATE("11 11.1 4b")</f>
        <v>11 11.1 4b</v>
      </c>
      <c r="M1933" s="3" t="str">
        <f>CONCATENATE("RMTJTH95E31D488L")</f>
        <v>RMTJTH95E31D488L</v>
      </c>
      <c r="N1933" s="3" t="s">
        <v>1934</v>
      </c>
      <c r="O1933" s="3"/>
      <c r="P1933" s="4">
        <v>42783</v>
      </c>
      <c r="Q1933" s="3" t="s">
        <v>27</v>
      </c>
      <c r="R1933" s="3" t="s">
        <v>28</v>
      </c>
      <c r="S1933" s="3" t="s">
        <v>29</v>
      </c>
      <c r="T1933" s="3">
        <v>889.4</v>
      </c>
      <c r="U1933" s="3">
        <v>383.51</v>
      </c>
      <c r="V1933" s="3">
        <v>354.16</v>
      </c>
      <c r="W1933" s="3">
        <v>151.72999999999999</v>
      </c>
    </row>
    <row r="1934" spans="1:23" ht="60.75">
      <c r="A1934" s="3" t="s">
        <v>23</v>
      </c>
      <c r="B1934" s="3" t="s">
        <v>24</v>
      </c>
      <c r="C1934" s="3" t="s">
        <v>35</v>
      </c>
      <c r="D1934" s="3" t="s">
        <v>43</v>
      </c>
      <c r="E1934" s="3" t="s">
        <v>30</v>
      </c>
      <c r="F1934" s="3" t="s">
        <v>76</v>
      </c>
      <c r="G1934" s="3">
        <v>2016</v>
      </c>
      <c r="H1934" s="3" t="str">
        <f>CONCATENATE("64210140097")</f>
        <v>64210140097</v>
      </c>
      <c r="I1934" s="3" t="s">
        <v>25</v>
      </c>
      <c r="J1934" s="3" t="s">
        <v>26</v>
      </c>
      <c r="K1934" s="3" t="str">
        <f t="shared" si="61"/>
        <v/>
      </c>
      <c r="L1934" s="3" t="str">
        <f>CONCATENATE("13 13.1 4a")</f>
        <v>13 13.1 4a</v>
      </c>
      <c r="M1934" s="3" t="str">
        <f>CONCATENATE("LVIGPP31R31F478X")</f>
        <v>LVIGPP31R31F478X</v>
      </c>
      <c r="N1934" s="3" t="s">
        <v>1935</v>
      </c>
      <c r="O1934" s="3"/>
      <c r="P1934" s="4">
        <v>42783</v>
      </c>
      <c r="Q1934" s="3" t="s">
        <v>27</v>
      </c>
      <c r="R1934" s="3" t="s">
        <v>28</v>
      </c>
      <c r="S1934" s="3" t="s">
        <v>29</v>
      </c>
      <c r="T1934" s="5">
        <v>1485.51</v>
      </c>
      <c r="U1934" s="3">
        <v>640.54999999999995</v>
      </c>
      <c r="V1934" s="3">
        <v>591.53</v>
      </c>
      <c r="W1934" s="3">
        <v>253.43</v>
      </c>
    </row>
    <row r="1935" spans="1:23" ht="60.75">
      <c r="A1935" s="3" t="s">
        <v>23</v>
      </c>
      <c r="B1935" s="3" t="s">
        <v>24</v>
      </c>
      <c r="C1935" s="3" t="s">
        <v>35</v>
      </c>
      <c r="D1935" s="3" t="s">
        <v>36</v>
      </c>
      <c r="E1935" s="3" t="s">
        <v>30</v>
      </c>
      <c r="F1935" s="3" t="s">
        <v>86</v>
      </c>
      <c r="G1935" s="3">
        <v>2016</v>
      </c>
      <c r="H1935" s="3" t="str">
        <f>CONCATENATE("64240803292")</f>
        <v>64240803292</v>
      </c>
      <c r="I1935" s="3" t="s">
        <v>25</v>
      </c>
      <c r="J1935" s="3" t="s">
        <v>26</v>
      </c>
      <c r="K1935" s="3" t="str">
        <f t="shared" si="61"/>
        <v/>
      </c>
      <c r="L1935" s="3" t="str">
        <f>CONCATENATE("10 10.1 4a")</f>
        <v>10 10.1 4a</v>
      </c>
      <c r="M1935" s="3" t="str">
        <f>CONCATENATE("MDNVRM72P69F205Y")</f>
        <v>MDNVRM72P69F205Y</v>
      </c>
      <c r="N1935" s="3" t="s">
        <v>491</v>
      </c>
      <c r="O1935" s="3"/>
      <c r="P1935" s="4">
        <v>42783</v>
      </c>
      <c r="Q1935" s="3" t="s">
        <v>27</v>
      </c>
      <c r="R1935" s="3" t="s">
        <v>28</v>
      </c>
      <c r="S1935" s="3" t="s">
        <v>29</v>
      </c>
      <c r="T1935" s="3">
        <v>384.16</v>
      </c>
      <c r="U1935" s="3">
        <v>165.65</v>
      </c>
      <c r="V1935" s="3">
        <v>152.97</v>
      </c>
      <c r="W1935" s="3">
        <v>65.540000000000006</v>
      </c>
    </row>
    <row r="1936" spans="1:23" ht="36.75">
      <c r="A1936" s="3" t="s">
        <v>23</v>
      </c>
      <c r="B1936" s="3" t="s">
        <v>24</v>
      </c>
      <c r="C1936" s="3" t="s">
        <v>35</v>
      </c>
      <c r="D1936" s="3" t="s">
        <v>48</v>
      </c>
      <c r="E1936" s="3" t="s">
        <v>32</v>
      </c>
      <c r="F1936" s="3" t="s">
        <v>129</v>
      </c>
      <c r="G1936" s="3">
        <v>2016</v>
      </c>
      <c r="H1936" s="3" t="str">
        <f>CONCATENATE("64240672614")</f>
        <v>64240672614</v>
      </c>
      <c r="I1936" s="3" t="s">
        <v>25</v>
      </c>
      <c r="J1936" s="3" t="s">
        <v>26</v>
      </c>
      <c r="K1936" s="3" t="str">
        <f t="shared" si="61"/>
        <v/>
      </c>
      <c r="L1936" s="3" t="str">
        <f>CONCATENATE("11 11.2 4b")</f>
        <v>11 11.2 4b</v>
      </c>
      <c r="M1936" s="3" t="str">
        <f>CONCATENATE("00316650431")</f>
        <v>00316650431</v>
      </c>
      <c r="N1936" s="3" t="s">
        <v>1936</v>
      </c>
      <c r="O1936" s="3"/>
      <c r="P1936" s="4">
        <v>42783</v>
      </c>
      <c r="Q1936" s="3" t="s">
        <v>27</v>
      </c>
      <c r="R1936" s="3" t="s">
        <v>28</v>
      </c>
      <c r="S1936" s="3" t="s">
        <v>29</v>
      </c>
      <c r="T1936" s="5">
        <v>8392.6200000000008</v>
      </c>
      <c r="U1936" s="5">
        <v>3618.9</v>
      </c>
      <c r="V1936" s="5">
        <v>3341.94</v>
      </c>
      <c r="W1936" s="5">
        <v>1431.78</v>
      </c>
    </row>
    <row r="1937" spans="1:23" ht="36.75">
      <c r="A1937" s="3" t="s">
        <v>23</v>
      </c>
      <c r="B1937" s="3" t="s">
        <v>24</v>
      </c>
      <c r="C1937" s="3" t="s">
        <v>35</v>
      </c>
      <c r="D1937" s="3" t="s">
        <v>48</v>
      </c>
      <c r="E1937" s="3" t="s">
        <v>30</v>
      </c>
      <c r="F1937" s="3" t="s">
        <v>91</v>
      </c>
      <c r="G1937" s="3">
        <v>2016</v>
      </c>
      <c r="H1937" s="3" t="str">
        <f>CONCATENATE("64210546103")</f>
        <v>64210546103</v>
      </c>
      <c r="I1937" s="3" t="s">
        <v>25</v>
      </c>
      <c r="J1937" s="3" t="s">
        <v>26</v>
      </c>
      <c r="K1937" s="3" t="str">
        <f t="shared" si="61"/>
        <v/>
      </c>
      <c r="L1937" s="3" t="str">
        <f>CONCATENATE("13 13.1 4a")</f>
        <v>13 13.1 4a</v>
      </c>
      <c r="M1937" s="3" t="str">
        <f>CONCATENATE("00608910436")</f>
        <v>00608910436</v>
      </c>
      <c r="N1937" s="3" t="s">
        <v>1937</v>
      </c>
      <c r="O1937" s="3"/>
      <c r="P1937" s="4">
        <v>42783</v>
      </c>
      <c r="Q1937" s="3" t="s">
        <v>27</v>
      </c>
      <c r="R1937" s="3" t="s">
        <v>28</v>
      </c>
      <c r="S1937" s="3" t="s">
        <v>29</v>
      </c>
      <c r="T1937" s="5">
        <v>4590</v>
      </c>
      <c r="U1937" s="5">
        <v>1979.21</v>
      </c>
      <c r="V1937" s="5">
        <v>1827.74</v>
      </c>
      <c r="W1937" s="3">
        <v>783.05</v>
      </c>
    </row>
    <row r="1938" spans="1:23" ht="60.75">
      <c r="A1938" s="3" t="s">
        <v>23</v>
      </c>
      <c r="B1938" s="3" t="s">
        <v>24</v>
      </c>
      <c r="C1938" s="3" t="s">
        <v>35</v>
      </c>
      <c r="D1938" s="3" t="s">
        <v>36</v>
      </c>
      <c r="E1938" s="3" t="s">
        <v>30</v>
      </c>
      <c r="F1938" s="3" t="s">
        <v>37</v>
      </c>
      <c r="G1938" s="3">
        <v>2016</v>
      </c>
      <c r="H1938" s="3" t="str">
        <f>CONCATENATE("64210391633")</f>
        <v>64210391633</v>
      </c>
      <c r="I1938" s="3" t="s">
        <v>25</v>
      </c>
      <c r="J1938" s="3" t="s">
        <v>26</v>
      </c>
      <c r="K1938" s="3" t="str">
        <f t="shared" ref="K1938:K2001" si="62">CONCATENATE("")</f>
        <v/>
      </c>
      <c r="L1938" s="3" t="str">
        <f>CONCATENATE("13 13.1 4a")</f>
        <v>13 13.1 4a</v>
      </c>
      <c r="M1938" s="3" t="str">
        <f>CONCATENATE("TZIDRN62D01F570C")</f>
        <v>TZIDRN62D01F570C</v>
      </c>
      <c r="N1938" s="3" t="s">
        <v>1938</v>
      </c>
      <c r="O1938" s="3"/>
      <c r="P1938" s="4">
        <v>42783</v>
      </c>
      <c r="Q1938" s="3" t="s">
        <v>27</v>
      </c>
      <c r="R1938" s="3" t="s">
        <v>28</v>
      </c>
      <c r="S1938" s="3" t="s">
        <v>29</v>
      </c>
      <c r="T1938" s="3">
        <v>890.4</v>
      </c>
      <c r="U1938" s="3">
        <v>383.94</v>
      </c>
      <c r="V1938" s="3">
        <v>354.56</v>
      </c>
      <c r="W1938" s="3">
        <v>151.9</v>
      </c>
    </row>
    <row r="1939" spans="1:23" ht="60.75">
      <c r="A1939" s="3" t="s">
        <v>23</v>
      </c>
      <c r="B1939" s="3" t="s">
        <v>24</v>
      </c>
      <c r="C1939" s="3" t="s">
        <v>35</v>
      </c>
      <c r="D1939" s="3" t="s">
        <v>43</v>
      </c>
      <c r="E1939" s="3" t="s">
        <v>30</v>
      </c>
      <c r="F1939" s="3" t="s">
        <v>124</v>
      </c>
      <c r="G1939" s="3">
        <v>2016</v>
      </c>
      <c r="H1939" s="3" t="str">
        <f>CONCATENATE("64210887879")</f>
        <v>64210887879</v>
      </c>
      <c r="I1939" s="3" t="s">
        <v>25</v>
      </c>
      <c r="J1939" s="3" t="s">
        <v>26</v>
      </c>
      <c r="K1939" s="3" t="str">
        <f t="shared" si="62"/>
        <v/>
      </c>
      <c r="L1939" s="3" t="str">
        <f>CONCATENATE("13 13.1 4a")</f>
        <v>13 13.1 4a</v>
      </c>
      <c r="M1939" s="3" t="str">
        <f>CONCATENATE("BNDCLD68E05I287I")</f>
        <v>BNDCLD68E05I287I</v>
      </c>
      <c r="N1939" s="3" t="s">
        <v>1678</v>
      </c>
      <c r="O1939" s="3"/>
      <c r="P1939" s="4">
        <v>42783</v>
      </c>
      <c r="Q1939" s="3" t="s">
        <v>27</v>
      </c>
      <c r="R1939" s="3" t="s">
        <v>28</v>
      </c>
      <c r="S1939" s="3" t="s">
        <v>29</v>
      </c>
      <c r="T1939" s="5">
        <v>3063.99</v>
      </c>
      <c r="U1939" s="5">
        <v>1321.19</v>
      </c>
      <c r="V1939" s="5">
        <v>1220.08</v>
      </c>
      <c r="W1939" s="3">
        <v>522.72</v>
      </c>
    </row>
    <row r="1940" spans="1:23" ht="60.75">
      <c r="A1940" s="3" t="s">
        <v>23</v>
      </c>
      <c r="B1940" s="3" t="s">
        <v>24</v>
      </c>
      <c r="C1940" s="3" t="s">
        <v>35</v>
      </c>
      <c r="D1940" s="3" t="s">
        <v>39</v>
      </c>
      <c r="E1940" s="3" t="s">
        <v>32</v>
      </c>
      <c r="F1940" s="3" t="s">
        <v>117</v>
      </c>
      <c r="G1940" s="3">
        <v>2016</v>
      </c>
      <c r="H1940" s="3" t="str">
        <f>CONCATENATE("64240484994")</f>
        <v>64240484994</v>
      </c>
      <c r="I1940" s="3" t="s">
        <v>25</v>
      </c>
      <c r="J1940" s="3" t="s">
        <v>26</v>
      </c>
      <c r="K1940" s="3" t="str">
        <f t="shared" si="62"/>
        <v/>
      </c>
      <c r="L1940" s="3" t="str">
        <f>CONCATENATE("11 11.2 4b")</f>
        <v>11 11.2 4b</v>
      </c>
      <c r="M1940" s="3" t="str">
        <f>CONCATENATE("PLLMTR27E58A271O")</f>
        <v>PLLMTR27E58A271O</v>
      </c>
      <c r="N1940" s="3" t="s">
        <v>1939</v>
      </c>
      <c r="O1940" s="3"/>
      <c r="P1940" s="4">
        <v>42783</v>
      </c>
      <c r="Q1940" s="3" t="s">
        <v>27</v>
      </c>
      <c r="R1940" s="3" t="s">
        <v>28</v>
      </c>
      <c r="S1940" s="3" t="s">
        <v>29</v>
      </c>
      <c r="T1940" s="5">
        <v>6383.18</v>
      </c>
      <c r="U1940" s="5">
        <v>2752.43</v>
      </c>
      <c r="V1940" s="5">
        <v>2541.7800000000002</v>
      </c>
      <c r="W1940" s="5">
        <v>1088.97</v>
      </c>
    </row>
    <row r="1941" spans="1:23" ht="60.75">
      <c r="A1941" s="3" t="s">
        <v>23</v>
      </c>
      <c r="B1941" s="3" t="s">
        <v>24</v>
      </c>
      <c r="C1941" s="3" t="s">
        <v>35</v>
      </c>
      <c r="D1941" s="3" t="s">
        <v>39</v>
      </c>
      <c r="E1941" s="3" t="s">
        <v>32</v>
      </c>
      <c r="F1941" s="3" t="s">
        <v>215</v>
      </c>
      <c r="G1941" s="3">
        <v>2016</v>
      </c>
      <c r="H1941" s="3" t="str">
        <f>CONCATENATE("64240204194")</f>
        <v>64240204194</v>
      </c>
      <c r="I1941" s="3" t="s">
        <v>25</v>
      </c>
      <c r="J1941" s="3" t="s">
        <v>26</v>
      </c>
      <c r="K1941" s="3" t="str">
        <f t="shared" si="62"/>
        <v/>
      </c>
      <c r="L1941" s="3" t="str">
        <f>CONCATENATE("11 11.1 4b")</f>
        <v>11 11.1 4b</v>
      </c>
      <c r="M1941" s="3" t="str">
        <f>CONCATENATE("LCHGST44R10I932Q")</f>
        <v>LCHGST44R10I932Q</v>
      </c>
      <c r="N1941" s="3" t="s">
        <v>1940</v>
      </c>
      <c r="O1941" s="3"/>
      <c r="P1941" s="4">
        <v>42783</v>
      </c>
      <c r="Q1941" s="3" t="s">
        <v>27</v>
      </c>
      <c r="R1941" s="3" t="s">
        <v>28</v>
      </c>
      <c r="S1941" s="3" t="s">
        <v>29</v>
      </c>
      <c r="T1941" s="3">
        <v>929.71</v>
      </c>
      <c r="U1941" s="3">
        <v>400.89</v>
      </c>
      <c r="V1941" s="3">
        <v>370.21</v>
      </c>
      <c r="W1941" s="3">
        <v>158.61000000000001</v>
      </c>
    </row>
    <row r="1942" spans="1:23" ht="60.75">
      <c r="A1942" s="3" t="s">
        <v>23</v>
      </c>
      <c r="B1942" s="3" t="s">
        <v>24</v>
      </c>
      <c r="C1942" s="3" t="s">
        <v>35</v>
      </c>
      <c r="D1942" s="3" t="s">
        <v>39</v>
      </c>
      <c r="E1942" s="3" t="s">
        <v>32</v>
      </c>
      <c r="F1942" s="3" t="s">
        <v>215</v>
      </c>
      <c r="G1942" s="3">
        <v>2016</v>
      </c>
      <c r="H1942" s="3" t="str">
        <f>CONCATENATE("64240344842")</f>
        <v>64240344842</v>
      </c>
      <c r="I1942" s="3" t="s">
        <v>25</v>
      </c>
      <c r="J1942" s="3" t="s">
        <v>26</v>
      </c>
      <c r="K1942" s="3" t="str">
        <f t="shared" si="62"/>
        <v/>
      </c>
      <c r="L1942" s="3" t="str">
        <f>CONCATENATE("11 11.1 4b")</f>
        <v>11 11.1 4b</v>
      </c>
      <c r="M1942" s="3" t="str">
        <f>CONCATENATE("VTLNDR86E13D451Z")</f>
        <v>VTLNDR86E13D451Z</v>
      </c>
      <c r="N1942" s="3" t="s">
        <v>1941</v>
      </c>
      <c r="O1942" s="3"/>
      <c r="P1942" s="4">
        <v>42783</v>
      </c>
      <c r="Q1942" s="3" t="s">
        <v>27</v>
      </c>
      <c r="R1942" s="3" t="s">
        <v>28</v>
      </c>
      <c r="S1942" s="3" t="s">
        <v>29</v>
      </c>
      <c r="T1942" s="3">
        <v>360.19</v>
      </c>
      <c r="U1942" s="3">
        <v>155.31</v>
      </c>
      <c r="V1942" s="3">
        <v>143.43</v>
      </c>
      <c r="W1942" s="3">
        <v>61.45</v>
      </c>
    </row>
    <row r="1943" spans="1:23" ht="60.75">
      <c r="A1943" s="3" t="s">
        <v>23</v>
      </c>
      <c r="B1943" s="3" t="s">
        <v>24</v>
      </c>
      <c r="C1943" s="3" t="s">
        <v>35</v>
      </c>
      <c r="D1943" s="3" t="s">
        <v>36</v>
      </c>
      <c r="E1943" s="3" t="s">
        <v>34</v>
      </c>
      <c r="F1943" s="3" t="s">
        <v>273</v>
      </c>
      <c r="G1943" s="3">
        <v>2016</v>
      </c>
      <c r="H1943" s="3" t="str">
        <f>CONCATENATE("64240292231")</f>
        <v>64240292231</v>
      </c>
      <c r="I1943" s="3" t="s">
        <v>25</v>
      </c>
      <c r="J1943" s="3" t="s">
        <v>26</v>
      </c>
      <c r="K1943" s="3" t="str">
        <f t="shared" si="62"/>
        <v/>
      </c>
      <c r="L1943" s="3" t="str">
        <f>CONCATENATE("11 11.2 4b")</f>
        <v>11 11.2 4b</v>
      </c>
      <c r="M1943" s="3" t="str">
        <f>CONCATENATE("CNLSRN59T45C093D")</f>
        <v>CNLSRN59T45C093D</v>
      </c>
      <c r="N1943" s="3" t="s">
        <v>1942</v>
      </c>
      <c r="O1943" s="3"/>
      <c r="P1943" s="4">
        <v>42783</v>
      </c>
      <c r="Q1943" s="3" t="s">
        <v>27</v>
      </c>
      <c r="R1943" s="3" t="s">
        <v>28</v>
      </c>
      <c r="S1943" s="3" t="s">
        <v>29</v>
      </c>
      <c r="T1943" s="5">
        <v>4033.94</v>
      </c>
      <c r="U1943" s="5">
        <v>1739.43</v>
      </c>
      <c r="V1943" s="5">
        <v>1606.31</v>
      </c>
      <c r="W1943" s="3">
        <v>688.2</v>
      </c>
    </row>
    <row r="1944" spans="1:23" ht="60.75">
      <c r="A1944" s="3" t="s">
        <v>23</v>
      </c>
      <c r="B1944" s="3" t="s">
        <v>24</v>
      </c>
      <c r="C1944" s="3" t="s">
        <v>35</v>
      </c>
      <c r="D1944" s="3" t="s">
        <v>36</v>
      </c>
      <c r="E1944" s="3" t="s">
        <v>32</v>
      </c>
      <c r="F1944" s="3" t="s">
        <v>208</v>
      </c>
      <c r="G1944" s="3">
        <v>2016</v>
      </c>
      <c r="H1944" s="3" t="str">
        <f>CONCATENATE("64240235313")</f>
        <v>64240235313</v>
      </c>
      <c r="I1944" s="3" t="s">
        <v>25</v>
      </c>
      <c r="J1944" s="3" t="s">
        <v>26</v>
      </c>
      <c r="K1944" s="3" t="str">
        <f t="shared" si="62"/>
        <v/>
      </c>
      <c r="L1944" s="3" t="str">
        <f>CONCATENATE("11 11.2 4b")</f>
        <v>11 11.2 4b</v>
      </c>
      <c r="M1944" s="3" t="str">
        <f>CONCATENATE("CVRPTR68M09Z401U")</f>
        <v>CVRPTR68M09Z401U</v>
      </c>
      <c r="N1944" s="3" t="s">
        <v>1943</v>
      </c>
      <c r="O1944" s="3"/>
      <c r="P1944" s="4">
        <v>42783</v>
      </c>
      <c r="Q1944" s="3" t="s">
        <v>27</v>
      </c>
      <c r="R1944" s="3" t="s">
        <v>28</v>
      </c>
      <c r="S1944" s="3" t="s">
        <v>29</v>
      </c>
      <c r="T1944" s="5">
        <v>2907.23</v>
      </c>
      <c r="U1944" s="5">
        <v>1253.5999999999999</v>
      </c>
      <c r="V1944" s="5">
        <v>1157.6600000000001</v>
      </c>
      <c r="W1944" s="3">
        <v>495.97</v>
      </c>
    </row>
    <row r="1945" spans="1:23" ht="60.75">
      <c r="A1945" s="3" t="s">
        <v>23</v>
      </c>
      <c r="B1945" s="3" t="s">
        <v>24</v>
      </c>
      <c r="C1945" s="3" t="s">
        <v>35</v>
      </c>
      <c r="D1945" s="3" t="s">
        <v>36</v>
      </c>
      <c r="E1945" s="3" t="s">
        <v>42</v>
      </c>
      <c r="F1945" s="3" t="s">
        <v>42</v>
      </c>
      <c r="G1945" s="3">
        <v>2016</v>
      </c>
      <c r="H1945" s="3" t="str">
        <f>CONCATENATE("64240715108")</f>
        <v>64240715108</v>
      </c>
      <c r="I1945" s="3" t="s">
        <v>25</v>
      </c>
      <c r="J1945" s="3" t="s">
        <v>26</v>
      </c>
      <c r="K1945" s="3" t="str">
        <f t="shared" si="62"/>
        <v/>
      </c>
      <c r="L1945" s="3" t="str">
        <f>CONCATENATE("10 10.1 4b")</f>
        <v>10 10.1 4b</v>
      </c>
      <c r="M1945" s="3" t="str">
        <f>CONCATENATE("NVNCDM71T30H501I")</f>
        <v>NVNCDM71T30H501I</v>
      </c>
      <c r="N1945" s="3" t="s">
        <v>1944</v>
      </c>
      <c r="O1945" s="3"/>
      <c r="P1945" s="4">
        <v>42783</v>
      </c>
      <c r="Q1945" s="3" t="s">
        <v>27</v>
      </c>
      <c r="R1945" s="3" t="s">
        <v>28</v>
      </c>
      <c r="S1945" s="3" t="s">
        <v>29</v>
      </c>
      <c r="T1945" s="5">
        <v>1349.88</v>
      </c>
      <c r="U1945" s="3">
        <v>582.07000000000005</v>
      </c>
      <c r="V1945" s="3">
        <v>537.52</v>
      </c>
      <c r="W1945" s="3">
        <v>230.29</v>
      </c>
    </row>
    <row r="1946" spans="1:23" ht="60.75">
      <c r="A1946" s="3" t="s">
        <v>23</v>
      </c>
      <c r="B1946" s="3" t="s">
        <v>24</v>
      </c>
      <c r="C1946" s="3" t="s">
        <v>35</v>
      </c>
      <c r="D1946" s="3" t="s">
        <v>43</v>
      </c>
      <c r="E1946" s="3" t="s">
        <v>30</v>
      </c>
      <c r="F1946" s="3" t="s">
        <v>124</v>
      </c>
      <c r="G1946" s="3">
        <v>2016</v>
      </c>
      <c r="H1946" s="3" t="str">
        <f>CONCATENATE("64240460507")</f>
        <v>64240460507</v>
      </c>
      <c r="I1946" s="3" t="s">
        <v>25</v>
      </c>
      <c r="J1946" s="3" t="s">
        <v>26</v>
      </c>
      <c r="K1946" s="3" t="str">
        <f t="shared" si="62"/>
        <v/>
      </c>
      <c r="L1946" s="3" t="str">
        <f>CONCATENATE("11 11.2 4b")</f>
        <v>11 11.2 4b</v>
      </c>
      <c r="M1946" s="3" t="str">
        <f>CONCATENATE("SLVSLL71H56D488E")</f>
        <v>SLVSLL71H56D488E</v>
      </c>
      <c r="N1946" s="3" t="s">
        <v>1945</v>
      </c>
      <c r="O1946" s="3"/>
      <c r="P1946" s="4">
        <v>42783</v>
      </c>
      <c r="Q1946" s="3" t="s">
        <v>27</v>
      </c>
      <c r="R1946" s="3" t="s">
        <v>28</v>
      </c>
      <c r="S1946" s="3" t="s">
        <v>29</v>
      </c>
      <c r="T1946" s="3">
        <v>237.03</v>
      </c>
      <c r="U1946" s="3">
        <v>102.21</v>
      </c>
      <c r="V1946" s="3">
        <v>94.39</v>
      </c>
      <c r="W1946" s="3">
        <v>40.43</v>
      </c>
    </row>
    <row r="1947" spans="1:23" ht="60.75">
      <c r="A1947" s="3" t="s">
        <v>23</v>
      </c>
      <c r="B1947" s="3" t="s">
        <v>24</v>
      </c>
      <c r="C1947" s="3" t="s">
        <v>35</v>
      </c>
      <c r="D1947" s="3" t="s">
        <v>48</v>
      </c>
      <c r="E1947" s="3" t="s">
        <v>49</v>
      </c>
      <c r="F1947" s="3" t="s">
        <v>80</v>
      </c>
      <c r="G1947" s="3">
        <v>2016</v>
      </c>
      <c r="H1947" s="3" t="str">
        <f>CONCATENATE("64210655193")</f>
        <v>64210655193</v>
      </c>
      <c r="I1947" s="3" t="s">
        <v>25</v>
      </c>
      <c r="J1947" s="3" t="s">
        <v>26</v>
      </c>
      <c r="K1947" s="3" t="str">
        <f t="shared" si="62"/>
        <v/>
      </c>
      <c r="L1947" s="3" t="str">
        <f>CONCATENATE("13 13.1 4a")</f>
        <v>13 13.1 4a</v>
      </c>
      <c r="M1947" s="3" t="str">
        <f>CONCATENATE("FRSGVS47H08D628L")</f>
        <v>FRSGVS47H08D628L</v>
      </c>
      <c r="N1947" s="3" t="s">
        <v>1946</v>
      </c>
      <c r="O1947" s="3"/>
      <c r="P1947" s="4">
        <v>42783</v>
      </c>
      <c r="Q1947" s="3" t="s">
        <v>27</v>
      </c>
      <c r="R1947" s="3" t="s">
        <v>28</v>
      </c>
      <c r="S1947" s="3" t="s">
        <v>29</v>
      </c>
      <c r="T1947" s="5">
        <v>3682.21</v>
      </c>
      <c r="U1947" s="5">
        <v>1587.77</v>
      </c>
      <c r="V1947" s="5">
        <v>1466.26</v>
      </c>
      <c r="W1947" s="3">
        <v>628.17999999999995</v>
      </c>
    </row>
    <row r="1948" spans="1:23" ht="60.75">
      <c r="A1948" s="3" t="s">
        <v>23</v>
      </c>
      <c r="B1948" s="3" t="s">
        <v>24</v>
      </c>
      <c r="C1948" s="3" t="s">
        <v>35</v>
      </c>
      <c r="D1948" s="3" t="s">
        <v>36</v>
      </c>
      <c r="E1948" s="3" t="s">
        <v>33</v>
      </c>
      <c r="F1948" s="3" t="s">
        <v>89</v>
      </c>
      <c r="G1948" s="3">
        <v>2016</v>
      </c>
      <c r="H1948" s="3" t="str">
        <f>CONCATENATE("64240616132")</f>
        <v>64240616132</v>
      </c>
      <c r="I1948" s="3" t="s">
        <v>25</v>
      </c>
      <c r="J1948" s="3" t="s">
        <v>26</v>
      </c>
      <c r="K1948" s="3" t="str">
        <f t="shared" si="62"/>
        <v/>
      </c>
      <c r="L1948" s="3" t="str">
        <f>CONCATENATE("11 11.2 4b")</f>
        <v>11 11.2 4b</v>
      </c>
      <c r="M1948" s="3" t="str">
        <f>CONCATENATE("MZZLCN75A21A462K")</f>
        <v>MZZLCN75A21A462K</v>
      </c>
      <c r="N1948" s="3" t="s">
        <v>1486</v>
      </c>
      <c r="O1948" s="3"/>
      <c r="P1948" s="4">
        <v>42783</v>
      </c>
      <c r="Q1948" s="3" t="s">
        <v>27</v>
      </c>
      <c r="R1948" s="3" t="s">
        <v>28</v>
      </c>
      <c r="S1948" s="3" t="s">
        <v>29</v>
      </c>
      <c r="T1948" s="5">
        <v>3565.21</v>
      </c>
      <c r="U1948" s="5">
        <v>1537.32</v>
      </c>
      <c r="V1948" s="5">
        <v>1419.67</v>
      </c>
      <c r="W1948" s="3">
        <v>608.22</v>
      </c>
    </row>
    <row r="1949" spans="1:23" ht="36.75">
      <c r="A1949" s="3" t="s">
        <v>23</v>
      </c>
      <c r="B1949" s="3" t="s">
        <v>24</v>
      </c>
      <c r="C1949" s="3" t="s">
        <v>35</v>
      </c>
      <c r="D1949" s="3" t="s">
        <v>48</v>
      </c>
      <c r="E1949" s="3" t="s">
        <v>33</v>
      </c>
      <c r="F1949" s="3" t="s">
        <v>160</v>
      </c>
      <c r="G1949" s="3">
        <v>2016</v>
      </c>
      <c r="H1949" s="3" t="str">
        <f>CONCATENATE("64240647988")</f>
        <v>64240647988</v>
      </c>
      <c r="I1949" s="3" t="s">
        <v>25</v>
      </c>
      <c r="J1949" s="3" t="s">
        <v>26</v>
      </c>
      <c r="K1949" s="3" t="str">
        <f t="shared" si="62"/>
        <v/>
      </c>
      <c r="L1949" s="3" t="str">
        <f>CONCATENATE("11 11.1 4b")</f>
        <v>11 11.1 4b</v>
      </c>
      <c r="M1949" s="3" t="str">
        <f>CONCATENATE("01915080434")</f>
        <v>01915080434</v>
      </c>
      <c r="N1949" s="3" t="s">
        <v>1947</v>
      </c>
      <c r="O1949" s="3"/>
      <c r="P1949" s="4">
        <v>42783</v>
      </c>
      <c r="Q1949" s="3" t="s">
        <v>27</v>
      </c>
      <c r="R1949" s="3" t="s">
        <v>28</v>
      </c>
      <c r="S1949" s="3" t="s">
        <v>29</v>
      </c>
      <c r="T1949" s="5">
        <v>1895.6</v>
      </c>
      <c r="U1949" s="3">
        <v>817.38</v>
      </c>
      <c r="V1949" s="3">
        <v>754.83</v>
      </c>
      <c r="W1949" s="3">
        <v>323.39</v>
      </c>
    </row>
    <row r="1950" spans="1:23" ht="60.75">
      <c r="A1950" s="3" t="s">
        <v>23</v>
      </c>
      <c r="B1950" s="3" t="s">
        <v>24</v>
      </c>
      <c r="C1950" s="3" t="s">
        <v>35</v>
      </c>
      <c r="D1950" s="3" t="s">
        <v>39</v>
      </c>
      <c r="E1950" s="3" t="s">
        <v>42</v>
      </c>
      <c r="F1950" s="3" t="s">
        <v>42</v>
      </c>
      <c r="G1950" s="3">
        <v>2016</v>
      </c>
      <c r="H1950" s="3" t="str">
        <f>CONCATENATE("64240639373")</f>
        <v>64240639373</v>
      </c>
      <c r="I1950" s="3" t="s">
        <v>25</v>
      </c>
      <c r="J1950" s="3" t="s">
        <v>26</v>
      </c>
      <c r="K1950" s="3" t="str">
        <f t="shared" si="62"/>
        <v/>
      </c>
      <c r="L1950" s="3" t="str">
        <f>CONCATENATE("10 10.1 4a")</f>
        <v>10 10.1 4a</v>
      </c>
      <c r="M1950" s="3" t="str">
        <f>CONCATENATE("BRNLSS84L07A271E")</f>
        <v>BRNLSS84L07A271E</v>
      </c>
      <c r="N1950" s="3" t="s">
        <v>1948</v>
      </c>
      <c r="O1950" s="3"/>
      <c r="P1950" s="4">
        <v>42783</v>
      </c>
      <c r="Q1950" s="3" t="s">
        <v>27</v>
      </c>
      <c r="R1950" s="3" t="s">
        <v>28</v>
      </c>
      <c r="S1950" s="3" t="s">
        <v>29</v>
      </c>
      <c r="T1950" s="5">
        <v>1279.5</v>
      </c>
      <c r="U1950" s="3">
        <v>551.72</v>
      </c>
      <c r="V1950" s="3">
        <v>509.5</v>
      </c>
      <c r="W1950" s="3">
        <v>218.28</v>
      </c>
    </row>
    <row r="1951" spans="1:23" ht="60.75">
      <c r="A1951" s="3" t="s">
        <v>23</v>
      </c>
      <c r="B1951" s="3" t="s">
        <v>24</v>
      </c>
      <c r="C1951" s="3" t="s">
        <v>35</v>
      </c>
      <c r="D1951" s="3" t="s">
        <v>48</v>
      </c>
      <c r="E1951" s="3" t="s">
        <v>49</v>
      </c>
      <c r="F1951" s="3" t="s">
        <v>50</v>
      </c>
      <c r="G1951" s="3">
        <v>2016</v>
      </c>
      <c r="H1951" s="3" t="str">
        <f>CONCATENATE("64210463481")</f>
        <v>64210463481</v>
      </c>
      <c r="I1951" s="3" t="s">
        <v>25</v>
      </c>
      <c r="J1951" s="3" t="s">
        <v>26</v>
      </c>
      <c r="K1951" s="3" t="str">
        <f t="shared" si="62"/>
        <v/>
      </c>
      <c r="L1951" s="3" t="str">
        <f>CONCATENATE("13 13.1 4a")</f>
        <v>13 13.1 4a</v>
      </c>
      <c r="M1951" s="3" t="str">
        <f>CONCATENATE("BRTJCN69L47Z603Y")</f>
        <v>BRTJCN69L47Z603Y</v>
      </c>
      <c r="N1951" s="3" t="s">
        <v>463</v>
      </c>
      <c r="O1951" s="3"/>
      <c r="P1951" s="4">
        <v>42783</v>
      </c>
      <c r="Q1951" s="3" t="s">
        <v>27</v>
      </c>
      <c r="R1951" s="3" t="s">
        <v>28</v>
      </c>
      <c r="S1951" s="3" t="s">
        <v>29</v>
      </c>
      <c r="T1951" s="5">
        <v>3799.76</v>
      </c>
      <c r="U1951" s="5">
        <v>1638.46</v>
      </c>
      <c r="V1951" s="5">
        <v>1513.06</v>
      </c>
      <c r="W1951" s="3">
        <v>648.24</v>
      </c>
    </row>
    <row r="1952" spans="1:23" ht="60.75">
      <c r="A1952" s="3" t="s">
        <v>23</v>
      </c>
      <c r="B1952" s="3" t="s">
        <v>24</v>
      </c>
      <c r="C1952" s="3" t="s">
        <v>35</v>
      </c>
      <c r="D1952" s="3" t="s">
        <v>48</v>
      </c>
      <c r="E1952" s="3" t="s">
        <v>30</v>
      </c>
      <c r="F1952" s="3" t="s">
        <v>91</v>
      </c>
      <c r="G1952" s="3">
        <v>2016</v>
      </c>
      <c r="H1952" s="3" t="str">
        <f>CONCATENATE("64210580482")</f>
        <v>64210580482</v>
      </c>
      <c r="I1952" s="3" t="s">
        <v>25</v>
      </c>
      <c r="J1952" s="3" t="s">
        <v>26</v>
      </c>
      <c r="K1952" s="3" t="str">
        <f t="shared" si="62"/>
        <v/>
      </c>
      <c r="L1952" s="3" t="str">
        <f>CONCATENATE("13 13.1 4a")</f>
        <v>13 13.1 4a</v>
      </c>
      <c r="M1952" s="3" t="str">
        <f>CONCATENATE("FRRRSO30L65A031L")</f>
        <v>FRRRSO30L65A031L</v>
      </c>
      <c r="N1952" s="3" t="s">
        <v>1949</v>
      </c>
      <c r="O1952" s="3"/>
      <c r="P1952" s="4">
        <v>42783</v>
      </c>
      <c r="Q1952" s="3" t="s">
        <v>27</v>
      </c>
      <c r="R1952" s="3" t="s">
        <v>28</v>
      </c>
      <c r="S1952" s="3" t="s">
        <v>29</v>
      </c>
      <c r="T1952" s="3">
        <v>393.22</v>
      </c>
      <c r="U1952" s="3">
        <v>169.56</v>
      </c>
      <c r="V1952" s="3">
        <v>156.58000000000001</v>
      </c>
      <c r="W1952" s="3">
        <v>67.08</v>
      </c>
    </row>
    <row r="1953" spans="1:23" ht="60.75">
      <c r="A1953" s="3" t="s">
        <v>23</v>
      </c>
      <c r="B1953" s="3" t="s">
        <v>24</v>
      </c>
      <c r="C1953" s="3" t="s">
        <v>35</v>
      </c>
      <c r="D1953" s="3" t="s">
        <v>43</v>
      </c>
      <c r="E1953" s="3" t="s">
        <v>32</v>
      </c>
      <c r="F1953" s="3" t="s">
        <v>119</v>
      </c>
      <c r="G1953" s="3">
        <v>2016</v>
      </c>
      <c r="H1953" s="3" t="str">
        <f>CONCATENATE("64240343695")</f>
        <v>64240343695</v>
      </c>
      <c r="I1953" s="3" t="s">
        <v>25</v>
      </c>
      <c r="J1953" s="3" t="s">
        <v>26</v>
      </c>
      <c r="K1953" s="3" t="str">
        <f t="shared" si="62"/>
        <v/>
      </c>
      <c r="L1953" s="3" t="str">
        <f>CONCATENATE("10 10.1 4a")</f>
        <v>10 10.1 4a</v>
      </c>
      <c r="M1953" s="3" t="str">
        <f>CONCATENATE("BRTVDO57S10D791G")</f>
        <v>BRTVDO57S10D791G</v>
      </c>
      <c r="N1953" s="3" t="s">
        <v>1950</v>
      </c>
      <c r="O1953" s="3"/>
      <c r="P1953" s="4">
        <v>42783</v>
      </c>
      <c r="Q1953" s="3" t="s">
        <v>27</v>
      </c>
      <c r="R1953" s="3" t="s">
        <v>28</v>
      </c>
      <c r="S1953" s="3" t="s">
        <v>29</v>
      </c>
      <c r="T1953" s="3">
        <v>486.49</v>
      </c>
      <c r="U1953" s="3">
        <v>209.77</v>
      </c>
      <c r="V1953" s="3">
        <v>193.72</v>
      </c>
      <c r="W1953" s="3">
        <v>83</v>
      </c>
    </row>
    <row r="1954" spans="1:23" ht="36.75">
      <c r="A1954" s="3" t="s">
        <v>23</v>
      </c>
      <c r="B1954" s="3" t="s">
        <v>24</v>
      </c>
      <c r="C1954" s="3" t="s">
        <v>35</v>
      </c>
      <c r="D1954" s="3" t="s">
        <v>36</v>
      </c>
      <c r="E1954" s="3" t="s">
        <v>59</v>
      </c>
      <c r="F1954" s="3" t="s">
        <v>910</v>
      </c>
      <c r="G1954" s="3">
        <v>2016</v>
      </c>
      <c r="H1954" s="3" t="str">
        <f>CONCATENATE("64240676466")</f>
        <v>64240676466</v>
      </c>
      <c r="I1954" s="3" t="s">
        <v>25</v>
      </c>
      <c r="J1954" s="3" t="s">
        <v>26</v>
      </c>
      <c r="K1954" s="3" t="str">
        <f t="shared" si="62"/>
        <v/>
      </c>
      <c r="L1954" s="3" t="str">
        <f>CONCATENATE("11 11.2 4b")</f>
        <v>11 11.2 4b</v>
      </c>
      <c r="M1954" s="3" t="str">
        <f>CONCATENATE("02181370442")</f>
        <v>02181370442</v>
      </c>
      <c r="N1954" s="3" t="s">
        <v>1951</v>
      </c>
      <c r="O1954" s="3"/>
      <c r="P1954" s="4">
        <v>42783</v>
      </c>
      <c r="Q1954" s="3" t="s">
        <v>27</v>
      </c>
      <c r="R1954" s="3" t="s">
        <v>28</v>
      </c>
      <c r="S1954" s="3" t="s">
        <v>29</v>
      </c>
      <c r="T1954" s="5">
        <v>15460.14</v>
      </c>
      <c r="U1954" s="5">
        <v>6666.41</v>
      </c>
      <c r="V1954" s="5">
        <v>6156.23</v>
      </c>
      <c r="W1954" s="5">
        <v>2637.5</v>
      </c>
    </row>
    <row r="1955" spans="1:23" ht="60.75">
      <c r="A1955" s="3" t="s">
        <v>23</v>
      </c>
      <c r="B1955" s="3" t="s">
        <v>24</v>
      </c>
      <c r="C1955" s="3" t="s">
        <v>35</v>
      </c>
      <c r="D1955" s="3" t="s">
        <v>43</v>
      </c>
      <c r="E1955" s="3" t="s">
        <v>32</v>
      </c>
      <c r="F1955" s="3" t="s">
        <v>44</v>
      </c>
      <c r="G1955" s="3">
        <v>2016</v>
      </c>
      <c r="H1955" s="3" t="str">
        <f>CONCATENATE("64240410262")</f>
        <v>64240410262</v>
      </c>
      <c r="I1955" s="3" t="s">
        <v>25</v>
      </c>
      <c r="J1955" s="3" t="s">
        <v>26</v>
      </c>
      <c r="K1955" s="3" t="str">
        <f t="shared" si="62"/>
        <v/>
      </c>
      <c r="L1955" s="3" t="str">
        <f>CONCATENATE("11 11.2 4b")</f>
        <v>11 11.2 4b</v>
      </c>
      <c r="M1955" s="3" t="str">
        <f>CONCATENATE("PRGSVN53C61G479Q")</f>
        <v>PRGSVN53C61G479Q</v>
      </c>
      <c r="N1955" s="3" t="s">
        <v>1952</v>
      </c>
      <c r="O1955" s="3"/>
      <c r="P1955" s="4">
        <v>42783</v>
      </c>
      <c r="Q1955" s="3" t="s">
        <v>27</v>
      </c>
      <c r="R1955" s="3" t="s">
        <v>28</v>
      </c>
      <c r="S1955" s="3" t="s">
        <v>29</v>
      </c>
      <c r="T1955" s="5">
        <v>1331.7</v>
      </c>
      <c r="U1955" s="3">
        <v>574.23</v>
      </c>
      <c r="V1955" s="3">
        <v>530.28</v>
      </c>
      <c r="W1955" s="3">
        <v>227.19</v>
      </c>
    </row>
    <row r="1956" spans="1:23" ht="72.75">
      <c r="A1956" s="3" t="s">
        <v>23</v>
      </c>
      <c r="B1956" s="3" t="s">
        <v>24</v>
      </c>
      <c r="C1956" s="3" t="s">
        <v>35</v>
      </c>
      <c r="D1956" s="3" t="s">
        <v>36</v>
      </c>
      <c r="E1956" s="3" t="s">
        <v>30</v>
      </c>
      <c r="F1956" s="3" t="s">
        <v>257</v>
      </c>
      <c r="G1956" s="3">
        <v>2016</v>
      </c>
      <c r="H1956" s="3" t="str">
        <f>CONCATENATE("64240542593")</f>
        <v>64240542593</v>
      </c>
      <c r="I1956" s="3" t="s">
        <v>25</v>
      </c>
      <c r="J1956" s="3" t="s">
        <v>26</v>
      </c>
      <c r="K1956" s="3" t="str">
        <f t="shared" si="62"/>
        <v/>
      </c>
      <c r="L1956" s="3" t="str">
        <f>CONCATENATE("11 11.2 4b")</f>
        <v>11 11.2 4b</v>
      </c>
      <c r="M1956" s="3" t="str">
        <f>CONCATENATE("CRAFRC80R06G920G")</f>
        <v>CRAFRC80R06G920G</v>
      </c>
      <c r="N1956" s="3" t="s">
        <v>1953</v>
      </c>
      <c r="O1956" s="3"/>
      <c r="P1956" s="4">
        <v>42783</v>
      </c>
      <c r="Q1956" s="3" t="s">
        <v>27</v>
      </c>
      <c r="R1956" s="3" t="s">
        <v>28</v>
      </c>
      <c r="S1956" s="3" t="s">
        <v>29</v>
      </c>
      <c r="T1956" s="5">
        <v>2354.69</v>
      </c>
      <c r="U1956" s="5">
        <v>1015.34</v>
      </c>
      <c r="V1956" s="3">
        <v>937.64</v>
      </c>
      <c r="W1956" s="3">
        <v>401.71</v>
      </c>
    </row>
    <row r="1957" spans="1:23" ht="60.75">
      <c r="A1957" s="3" t="s">
        <v>23</v>
      </c>
      <c r="B1957" s="3" t="s">
        <v>24</v>
      </c>
      <c r="C1957" s="3" t="s">
        <v>35</v>
      </c>
      <c r="D1957" s="3" t="s">
        <v>43</v>
      </c>
      <c r="E1957" s="3" t="s">
        <v>33</v>
      </c>
      <c r="F1957" s="3" t="s">
        <v>122</v>
      </c>
      <c r="G1957" s="3">
        <v>2016</v>
      </c>
      <c r="H1957" s="3" t="str">
        <f>CONCATENATE("64211075623")</f>
        <v>64211075623</v>
      </c>
      <c r="I1957" s="3" t="s">
        <v>25</v>
      </c>
      <c r="J1957" s="3" t="s">
        <v>26</v>
      </c>
      <c r="K1957" s="3" t="str">
        <f t="shared" si="62"/>
        <v/>
      </c>
      <c r="L1957" s="3" t="str">
        <f>CONCATENATE("13 13.1 4a")</f>
        <v>13 13.1 4a</v>
      </c>
      <c r="M1957" s="3" t="str">
        <f>CONCATENATE("GNTLRS61A24F478R")</f>
        <v>GNTLRS61A24F478R</v>
      </c>
      <c r="N1957" s="3" t="s">
        <v>1954</v>
      </c>
      <c r="O1957" s="3"/>
      <c r="P1957" s="4">
        <v>42783</v>
      </c>
      <c r="Q1957" s="3" t="s">
        <v>27</v>
      </c>
      <c r="R1957" s="3" t="s">
        <v>28</v>
      </c>
      <c r="S1957" s="3" t="s">
        <v>29</v>
      </c>
      <c r="T1957" s="5">
        <v>1910.63</v>
      </c>
      <c r="U1957" s="3">
        <v>823.86</v>
      </c>
      <c r="V1957" s="3">
        <v>760.81</v>
      </c>
      <c r="W1957" s="3">
        <v>325.95999999999998</v>
      </c>
    </row>
    <row r="1958" spans="1:23" ht="72.75">
      <c r="A1958" s="3" t="s">
        <v>23</v>
      </c>
      <c r="B1958" s="3" t="s">
        <v>24</v>
      </c>
      <c r="C1958" s="3" t="s">
        <v>35</v>
      </c>
      <c r="D1958" s="3" t="s">
        <v>36</v>
      </c>
      <c r="E1958" s="3" t="s">
        <v>30</v>
      </c>
      <c r="F1958" s="3" t="s">
        <v>67</v>
      </c>
      <c r="G1958" s="3">
        <v>2016</v>
      </c>
      <c r="H1958" s="3" t="str">
        <f>CONCATENATE("64240524930")</f>
        <v>64240524930</v>
      </c>
      <c r="I1958" s="3" t="s">
        <v>25</v>
      </c>
      <c r="J1958" s="3" t="s">
        <v>26</v>
      </c>
      <c r="K1958" s="3" t="str">
        <f t="shared" si="62"/>
        <v/>
      </c>
      <c r="L1958" s="3" t="str">
        <f>CONCATENATE("11 11.2 4b")</f>
        <v>11 11.2 4b</v>
      </c>
      <c r="M1958" s="3" t="str">
        <f>CONCATENATE("RGLNLM45R43D542B")</f>
        <v>RGLNLM45R43D542B</v>
      </c>
      <c r="N1958" s="3" t="s">
        <v>1955</v>
      </c>
      <c r="O1958" s="3"/>
      <c r="P1958" s="4">
        <v>42783</v>
      </c>
      <c r="Q1958" s="3" t="s">
        <v>27</v>
      </c>
      <c r="R1958" s="3" t="s">
        <v>28</v>
      </c>
      <c r="S1958" s="3" t="s">
        <v>29</v>
      </c>
      <c r="T1958" s="5">
        <v>1230.07</v>
      </c>
      <c r="U1958" s="3">
        <v>530.41</v>
      </c>
      <c r="V1958" s="3">
        <v>489.81</v>
      </c>
      <c r="W1958" s="3">
        <v>209.85</v>
      </c>
    </row>
    <row r="1959" spans="1:23" ht="36.75">
      <c r="A1959" s="3" t="s">
        <v>23</v>
      </c>
      <c r="B1959" s="3" t="s">
        <v>24</v>
      </c>
      <c r="C1959" s="3" t="s">
        <v>35</v>
      </c>
      <c r="D1959" s="3" t="s">
        <v>36</v>
      </c>
      <c r="E1959" s="3" t="s">
        <v>30</v>
      </c>
      <c r="F1959" s="3" t="s">
        <v>67</v>
      </c>
      <c r="G1959" s="3">
        <v>2016</v>
      </c>
      <c r="H1959" s="3" t="str">
        <f>CONCATENATE("64240523908")</f>
        <v>64240523908</v>
      </c>
      <c r="I1959" s="3" t="s">
        <v>31</v>
      </c>
      <c r="J1959" s="3" t="s">
        <v>26</v>
      </c>
      <c r="K1959" s="3" t="str">
        <f t="shared" si="62"/>
        <v/>
      </c>
      <c r="L1959" s="3" t="str">
        <f>CONCATENATE("11 11.2 4b")</f>
        <v>11 11.2 4b</v>
      </c>
      <c r="M1959" s="3" t="str">
        <f>CONCATENATE("01977060449")</f>
        <v>01977060449</v>
      </c>
      <c r="N1959" s="3" t="s">
        <v>1956</v>
      </c>
      <c r="O1959" s="3"/>
      <c r="P1959" s="4">
        <v>42783</v>
      </c>
      <c r="Q1959" s="3" t="s">
        <v>27</v>
      </c>
      <c r="R1959" s="3" t="s">
        <v>28</v>
      </c>
      <c r="S1959" s="3" t="s">
        <v>29</v>
      </c>
      <c r="T1959" s="5">
        <v>3593.28</v>
      </c>
      <c r="U1959" s="5">
        <v>1549.42</v>
      </c>
      <c r="V1959" s="5">
        <v>1430.84</v>
      </c>
      <c r="W1959" s="3">
        <v>613.02</v>
      </c>
    </row>
    <row r="1960" spans="1:23" ht="60.75">
      <c r="A1960" s="3" t="s">
        <v>23</v>
      </c>
      <c r="B1960" s="3" t="s">
        <v>24</v>
      </c>
      <c r="C1960" s="3" t="s">
        <v>35</v>
      </c>
      <c r="D1960" s="3" t="s">
        <v>48</v>
      </c>
      <c r="E1960" s="3" t="s">
        <v>49</v>
      </c>
      <c r="F1960" s="3" t="s">
        <v>50</v>
      </c>
      <c r="G1960" s="3">
        <v>2016</v>
      </c>
      <c r="H1960" s="3" t="str">
        <f>CONCATENATE("64240383220")</f>
        <v>64240383220</v>
      </c>
      <c r="I1960" s="3" t="s">
        <v>25</v>
      </c>
      <c r="J1960" s="3" t="s">
        <v>26</v>
      </c>
      <c r="K1960" s="3" t="str">
        <f t="shared" si="62"/>
        <v/>
      </c>
      <c r="L1960" s="3" t="str">
        <f>CONCATENATE("11 11.2 4b")</f>
        <v>11 11.2 4b</v>
      </c>
      <c r="M1960" s="3" t="str">
        <f>CONCATENATE("SCCFEA49B53I436U")</f>
        <v>SCCFEA49B53I436U</v>
      </c>
      <c r="N1960" s="3" t="s">
        <v>1957</v>
      </c>
      <c r="O1960" s="3"/>
      <c r="P1960" s="4">
        <v>42783</v>
      </c>
      <c r="Q1960" s="3" t="s">
        <v>27</v>
      </c>
      <c r="R1960" s="3" t="s">
        <v>28</v>
      </c>
      <c r="S1960" s="3" t="s">
        <v>29</v>
      </c>
      <c r="T1960" s="5">
        <v>1307.95</v>
      </c>
      <c r="U1960" s="3">
        <v>563.99</v>
      </c>
      <c r="V1960" s="3">
        <v>520.83000000000004</v>
      </c>
      <c r="W1960" s="3">
        <v>223.13</v>
      </c>
    </row>
    <row r="1961" spans="1:23" ht="36.75">
      <c r="A1961" s="3" t="s">
        <v>23</v>
      </c>
      <c r="B1961" s="3" t="s">
        <v>24</v>
      </c>
      <c r="C1961" s="3" t="s">
        <v>35</v>
      </c>
      <c r="D1961" s="3" t="s">
        <v>48</v>
      </c>
      <c r="E1961" s="3" t="s">
        <v>30</v>
      </c>
      <c r="F1961" s="3" t="s">
        <v>91</v>
      </c>
      <c r="G1961" s="3">
        <v>2016</v>
      </c>
      <c r="H1961" s="3" t="str">
        <f>CONCATENATE("64240320677")</f>
        <v>64240320677</v>
      </c>
      <c r="I1961" s="3" t="s">
        <v>25</v>
      </c>
      <c r="J1961" s="3" t="s">
        <v>26</v>
      </c>
      <c r="K1961" s="3" t="str">
        <f t="shared" si="62"/>
        <v/>
      </c>
      <c r="L1961" s="3" t="str">
        <f>CONCATENATE("11 11.2 4b")</f>
        <v>11 11.2 4b</v>
      </c>
      <c r="M1961" s="3" t="str">
        <f>CONCATENATE("01704950433")</f>
        <v>01704950433</v>
      </c>
      <c r="N1961" s="3" t="s">
        <v>1958</v>
      </c>
      <c r="O1961" s="3"/>
      <c r="P1961" s="4">
        <v>42783</v>
      </c>
      <c r="Q1961" s="3" t="s">
        <v>27</v>
      </c>
      <c r="R1961" s="3" t="s">
        <v>28</v>
      </c>
      <c r="S1961" s="3" t="s">
        <v>29</v>
      </c>
      <c r="T1961" s="3">
        <v>773.94</v>
      </c>
      <c r="U1961" s="3">
        <v>333.72</v>
      </c>
      <c r="V1961" s="3">
        <v>308.18</v>
      </c>
      <c r="W1961" s="3">
        <v>132.04</v>
      </c>
    </row>
    <row r="1962" spans="1:23" ht="60.75">
      <c r="A1962" s="3" t="s">
        <v>23</v>
      </c>
      <c r="B1962" s="3" t="s">
        <v>24</v>
      </c>
      <c r="C1962" s="3" t="s">
        <v>35</v>
      </c>
      <c r="D1962" s="3" t="s">
        <v>36</v>
      </c>
      <c r="E1962" s="3" t="s">
        <v>33</v>
      </c>
      <c r="F1962" s="3" t="s">
        <v>89</v>
      </c>
      <c r="G1962" s="3">
        <v>2016</v>
      </c>
      <c r="H1962" s="3" t="str">
        <f>CONCATENATE("64210690927")</f>
        <v>64210690927</v>
      </c>
      <c r="I1962" s="3" t="s">
        <v>25</v>
      </c>
      <c r="J1962" s="3" t="s">
        <v>26</v>
      </c>
      <c r="K1962" s="3" t="str">
        <f t="shared" si="62"/>
        <v/>
      </c>
      <c r="L1962" s="3" t="str">
        <f>CONCATENATE("13 13.1 4a")</f>
        <v>13 13.1 4a</v>
      </c>
      <c r="M1962" s="3" t="str">
        <f>CONCATENATE("GRZGPP51D05F570J")</f>
        <v>GRZGPP51D05F570J</v>
      </c>
      <c r="N1962" s="3" t="s">
        <v>1959</v>
      </c>
      <c r="O1962" s="3"/>
      <c r="P1962" s="4">
        <v>42783</v>
      </c>
      <c r="Q1962" s="3" t="s">
        <v>27</v>
      </c>
      <c r="R1962" s="3" t="s">
        <v>28</v>
      </c>
      <c r="S1962" s="3" t="s">
        <v>29</v>
      </c>
      <c r="T1962" s="5">
        <v>2562.84</v>
      </c>
      <c r="U1962" s="5">
        <v>1105.0999999999999</v>
      </c>
      <c r="V1962" s="5">
        <v>1020.52</v>
      </c>
      <c r="W1962" s="3">
        <v>437.22</v>
      </c>
    </row>
    <row r="1963" spans="1:23" ht="36.75">
      <c r="A1963" s="3" t="s">
        <v>23</v>
      </c>
      <c r="B1963" s="3" t="s">
        <v>24</v>
      </c>
      <c r="C1963" s="3" t="s">
        <v>35</v>
      </c>
      <c r="D1963" s="3" t="s">
        <v>39</v>
      </c>
      <c r="E1963" s="3" t="s">
        <v>32</v>
      </c>
      <c r="F1963" s="3" t="s">
        <v>69</v>
      </c>
      <c r="G1963" s="3">
        <v>2016</v>
      </c>
      <c r="H1963" s="3" t="str">
        <f>CONCATENATE("64240625109")</f>
        <v>64240625109</v>
      </c>
      <c r="I1963" s="3" t="s">
        <v>25</v>
      </c>
      <c r="J1963" s="3" t="s">
        <v>26</v>
      </c>
      <c r="K1963" s="3" t="str">
        <f t="shared" si="62"/>
        <v/>
      </c>
      <c r="L1963" s="3" t="str">
        <f>CONCATENATE("11 11.2 4b")</f>
        <v>11 11.2 4b</v>
      </c>
      <c r="M1963" s="3" t="str">
        <f>CONCATENATE("06586980150")</f>
        <v>06586980150</v>
      </c>
      <c r="N1963" s="3" t="s">
        <v>1960</v>
      </c>
      <c r="O1963" s="3"/>
      <c r="P1963" s="4">
        <v>42783</v>
      </c>
      <c r="Q1963" s="3" t="s">
        <v>27</v>
      </c>
      <c r="R1963" s="3" t="s">
        <v>28</v>
      </c>
      <c r="S1963" s="3" t="s">
        <v>29</v>
      </c>
      <c r="T1963" s="5">
        <v>5375.72</v>
      </c>
      <c r="U1963" s="5">
        <v>2318.0100000000002</v>
      </c>
      <c r="V1963" s="5">
        <v>2140.61</v>
      </c>
      <c r="W1963" s="3">
        <v>917.1</v>
      </c>
    </row>
    <row r="1964" spans="1:23" ht="36.75">
      <c r="A1964" s="3" t="s">
        <v>23</v>
      </c>
      <c r="B1964" s="3" t="s">
        <v>24</v>
      </c>
      <c r="C1964" s="3" t="s">
        <v>35</v>
      </c>
      <c r="D1964" s="3" t="s">
        <v>48</v>
      </c>
      <c r="E1964" s="3" t="s">
        <v>34</v>
      </c>
      <c r="F1964" s="3" t="s">
        <v>170</v>
      </c>
      <c r="G1964" s="3">
        <v>2016</v>
      </c>
      <c r="H1964" s="3" t="str">
        <f>CONCATENATE("64240613618")</f>
        <v>64240613618</v>
      </c>
      <c r="I1964" s="3" t="s">
        <v>25</v>
      </c>
      <c r="J1964" s="3" t="s">
        <v>26</v>
      </c>
      <c r="K1964" s="3" t="str">
        <f t="shared" si="62"/>
        <v/>
      </c>
      <c r="L1964" s="3" t="str">
        <f>CONCATENATE("11 11.2 4b")</f>
        <v>11 11.2 4b</v>
      </c>
      <c r="M1964" s="3" t="str">
        <f>CONCATENATE("00763150430")</f>
        <v>00763150430</v>
      </c>
      <c r="N1964" s="3" t="s">
        <v>1961</v>
      </c>
      <c r="O1964" s="3"/>
      <c r="P1964" s="4">
        <v>42783</v>
      </c>
      <c r="Q1964" s="3" t="s">
        <v>27</v>
      </c>
      <c r="R1964" s="3" t="s">
        <v>28</v>
      </c>
      <c r="S1964" s="3" t="s">
        <v>29</v>
      </c>
      <c r="T1964" s="5">
        <v>5717.93</v>
      </c>
      <c r="U1964" s="5">
        <v>2465.5700000000002</v>
      </c>
      <c r="V1964" s="5">
        <v>2276.88</v>
      </c>
      <c r="W1964" s="3">
        <v>975.48</v>
      </c>
    </row>
    <row r="1965" spans="1:23" ht="60.75">
      <c r="A1965" s="3" t="s">
        <v>23</v>
      </c>
      <c r="B1965" s="3" t="s">
        <v>24</v>
      </c>
      <c r="C1965" s="3" t="s">
        <v>35</v>
      </c>
      <c r="D1965" s="3" t="s">
        <v>36</v>
      </c>
      <c r="E1965" s="3" t="s">
        <v>42</v>
      </c>
      <c r="F1965" s="3" t="s">
        <v>42</v>
      </c>
      <c r="G1965" s="3">
        <v>2016</v>
      </c>
      <c r="H1965" s="3" t="str">
        <f>CONCATENATE("64210650798")</f>
        <v>64210650798</v>
      </c>
      <c r="I1965" s="3" t="s">
        <v>25</v>
      </c>
      <c r="J1965" s="3" t="s">
        <v>26</v>
      </c>
      <c r="K1965" s="3" t="str">
        <f t="shared" si="62"/>
        <v/>
      </c>
      <c r="L1965" s="3" t="str">
        <f>CONCATENATE("13 13.1 4a")</f>
        <v>13 13.1 4a</v>
      </c>
      <c r="M1965" s="3" t="str">
        <f>CONCATENATE("GNNGNI49T54C935L")</f>
        <v>GNNGNI49T54C935L</v>
      </c>
      <c r="N1965" s="3" t="s">
        <v>1375</v>
      </c>
      <c r="O1965" s="3"/>
      <c r="P1965" s="4">
        <v>42783</v>
      </c>
      <c r="Q1965" s="3" t="s">
        <v>27</v>
      </c>
      <c r="R1965" s="3" t="s">
        <v>28</v>
      </c>
      <c r="S1965" s="3" t="s">
        <v>29</v>
      </c>
      <c r="T1965" s="5">
        <v>2401.33</v>
      </c>
      <c r="U1965" s="5">
        <v>1035.45</v>
      </c>
      <c r="V1965" s="3">
        <v>956.21</v>
      </c>
      <c r="W1965" s="3">
        <v>409.67</v>
      </c>
    </row>
    <row r="1966" spans="1:23" ht="60.75">
      <c r="A1966" s="3" t="s">
        <v>23</v>
      </c>
      <c r="B1966" s="3" t="s">
        <v>24</v>
      </c>
      <c r="C1966" s="3" t="s">
        <v>35</v>
      </c>
      <c r="D1966" s="3" t="s">
        <v>43</v>
      </c>
      <c r="E1966" s="3" t="s">
        <v>30</v>
      </c>
      <c r="F1966" s="3" t="s">
        <v>76</v>
      </c>
      <c r="G1966" s="3">
        <v>2016</v>
      </c>
      <c r="H1966" s="3" t="str">
        <f>CONCATENATE("64210139529")</f>
        <v>64210139529</v>
      </c>
      <c r="I1966" s="3" t="s">
        <v>31</v>
      </c>
      <c r="J1966" s="3" t="s">
        <v>26</v>
      </c>
      <c r="K1966" s="3" t="str">
        <f t="shared" si="62"/>
        <v/>
      </c>
      <c r="L1966" s="3" t="str">
        <f>CONCATENATE("13 13.1 4a")</f>
        <v>13 13.1 4a</v>
      </c>
      <c r="M1966" s="3" t="str">
        <f>CONCATENATE("NEANNL83B18C357M")</f>
        <v>NEANNL83B18C357M</v>
      </c>
      <c r="N1966" s="3" t="s">
        <v>1962</v>
      </c>
      <c r="O1966" s="3"/>
      <c r="P1966" s="4">
        <v>42783</v>
      </c>
      <c r="Q1966" s="3" t="s">
        <v>27</v>
      </c>
      <c r="R1966" s="3" t="s">
        <v>28</v>
      </c>
      <c r="S1966" s="3" t="s">
        <v>29</v>
      </c>
      <c r="T1966" s="5">
        <v>2619.25</v>
      </c>
      <c r="U1966" s="5">
        <v>1129.42</v>
      </c>
      <c r="V1966" s="5">
        <v>1042.99</v>
      </c>
      <c r="W1966" s="3">
        <v>446.84</v>
      </c>
    </row>
    <row r="1967" spans="1:23" ht="72.75">
      <c r="A1967" s="3" t="s">
        <v>23</v>
      </c>
      <c r="B1967" s="3" t="s">
        <v>24</v>
      </c>
      <c r="C1967" s="3" t="s">
        <v>35</v>
      </c>
      <c r="D1967" s="3" t="s">
        <v>36</v>
      </c>
      <c r="E1967" s="3" t="s">
        <v>32</v>
      </c>
      <c r="F1967" s="3" t="s">
        <v>208</v>
      </c>
      <c r="G1967" s="3">
        <v>2016</v>
      </c>
      <c r="H1967" s="3" t="str">
        <f>CONCATENATE("64240498523")</f>
        <v>64240498523</v>
      </c>
      <c r="I1967" s="3" t="s">
        <v>25</v>
      </c>
      <c r="J1967" s="3" t="s">
        <v>26</v>
      </c>
      <c r="K1967" s="3" t="str">
        <f t="shared" si="62"/>
        <v/>
      </c>
      <c r="L1967" s="3" t="str">
        <f>CONCATENATE("11 11.2 4b")</f>
        <v>11 11.2 4b</v>
      </c>
      <c r="M1967" s="3" t="str">
        <f>CONCATENATE("CTNMNO71C55I324B")</f>
        <v>CTNMNO71C55I324B</v>
      </c>
      <c r="N1967" s="3" t="s">
        <v>1963</v>
      </c>
      <c r="O1967" s="3"/>
      <c r="P1967" s="4">
        <v>42783</v>
      </c>
      <c r="Q1967" s="3" t="s">
        <v>27</v>
      </c>
      <c r="R1967" s="3" t="s">
        <v>28</v>
      </c>
      <c r="S1967" s="3" t="s">
        <v>29</v>
      </c>
      <c r="T1967" s="5">
        <v>1134.32</v>
      </c>
      <c r="U1967" s="3">
        <v>489.12</v>
      </c>
      <c r="V1967" s="3">
        <v>451.69</v>
      </c>
      <c r="W1967" s="3">
        <v>193.51</v>
      </c>
    </row>
    <row r="1968" spans="1:23" ht="60.75">
      <c r="A1968" s="3" t="s">
        <v>23</v>
      </c>
      <c r="B1968" s="3" t="s">
        <v>24</v>
      </c>
      <c r="C1968" s="3" t="s">
        <v>35</v>
      </c>
      <c r="D1968" s="3" t="s">
        <v>43</v>
      </c>
      <c r="E1968" s="3" t="s">
        <v>30</v>
      </c>
      <c r="F1968" s="3" t="s">
        <v>76</v>
      </c>
      <c r="G1968" s="3">
        <v>2016</v>
      </c>
      <c r="H1968" s="3" t="str">
        <f>CONCATENATE("64210086837")</f>
        <v>64210086837</v>
      </c>
      <c r="I1968" s="3" t="s">
        <v>25</v>
      </c>
      <c r="J1968" s="3" t="s">
        <v>26</v>
      </c>
      <c r="K1968" s="3" t="str">
        <f t="shared" si="62"/>
        <v/>
      </c>
      <c r="L1968" s="3" t="str">
        <f>CONCATENATE("13 13.1 4a")</f>
        <v>13 13.1 4a</v>
      </c>
      <c r="M1968" s="3" t="str">
        <f>CONCATENATE("GGGGLN66H63I459X")</f>
        <v>GGGGLN66H63I459X</v>
      </c>
      <c r="N1968" s="3" t="s">
        <v>1896</v>
      </c>
      <c r="O1968" s="3"/>
      <c r="P1968" s="4">
        <v>42783</v>
      </c>
      <c r="Q1968" s="3" t="s">
        <v>27</v>
      </c>
      <c r="R1968" s="3" t="s">
        <v>28</v>
      </c>
      <c r="S1968" s="3" t="s">
        <v>29</v>
      </c>
      <c r="T1968" s="5">
        <v>2150.08</v>
      </c>
      <c r="U1968" s="3">
        <v>927.11</v>
      </c>
      <c r="V1968" s="3">
        <v>856.16</v>
      </c>
      <c r="W1968" s="3">
        <v>366.81</v>
      </c>
    </row>
    <row r="1969" spans="1:23" ht="72.75">
      <c r="A1969" s="3" t="s">
        <v>23</v>
      </c>
      <c r="B1969" s="3" t="s">
        <v>24</v>
      </c>
      <c r="C1969" s="3" t="s">
        <v>35</v>
      </c>
      <c r="D1969" s="3" t="s">
        <v>39</v>
      </c>
      <c r="E1969" s="3" t="s">
        <v>34</v>
      </c>
      <c r="F1969" s="3" t="s">
        <v>170</v>
      </c>
      <c r="G1969" s="3">
        <v>2016</v>
      </c>
      <c r="H1969" s="3" t="str">
        <f>CONCATENATE("64240694170")</f>
        <v>64240694170</v>
      </c>
      <c r="I1969" s="3" t="s">
        <v>31</v>
      </c>
      <c r="J1969" s="3" t="s">
        <v>26</v>
      </c>
      <c r="K1969" s="3" t="str">
        <f t="shared" si="62"/>
        <v/>
      </c>
      <c r="L1969" s="3" t="str">
        <f t="shared" ref="L1969:L1975" si="63">CONCATENATE("11 11.2 4b")</f>
        <v>11 11.2 4b</v>
      </c>
      <c r="M1969" s="3" t="str">
        <f>CONCATENATE("MRDLSN51E15H501F")</f>
        <v>MRDLSN51E15H501F</v>
      </c>
      <c r="N1969" s="3" t="s">
        <v>1964</v>
      </c>
      <c r="O1969" s="3"/>
      <c r="P1969" s="4">
        <v>42783</v>
      </c>
      <c r="Q1969" s="3" t="s">
        <v>27</v>
      </c>
      <c r="R1969" s="3" t="s">
        <v>28</v>
      </c>
      <c r="S1969" s="3" t="s">
        <v>29</v>
      </c>
      <c r="T1969" s="5">
        <v>18835.830000000002</v>
      </c>
      <c r="U1969" s="5">
        <v>8122.01</v>
      </c>
      <c r="V1969" s="5">
        <v>7500.43</v>
      </c>
      <c r="W1969" s="5">
        <v>3213.39</v>
      </c>
    </row>
    <row r="1970" spans="1:23" ht="60.75">
      <c r="A1970" s="3" t="s">
        <v>23</v>
      </c>
      <c r="B1970" s="3" t="s">
        <v>24</v>
      </c>
      <c r="C1970" s="3" t="s">
        <v>35</v>
      </c>
      <c r="D1970" s="3" t="s">
        <v>36</v>
      </c>
      <c r="E1970" s="3" t="s">
        <v>59</v>
      </c>
      <c r="F1970" s="3" t="s">
        <v>62</v>
      </c>
      <c r="G1970" s="3">
        <v>2016</v>
      </c>
      <c r="H1970" s="3" t="str">
        <f>CONCATENATE("64240360210")</f>
        <v>64240360210</v>
      </c>
      <c r="I1970" s="3" t="s">
        <v>25</v>
      </c>
      <c r="J1970" s="3" t="s">
        <v>26</v>
      </c>
      <c r="K1970" s="3" t="str">
        <f t="shared" si="62"/>
        <v/>
      </c>
      <c r="L1970" s="3" t="str">
        <f t="shared" si="63"/>
        <v>11 11.2 4b</v>
      </c>
      <c r="M1970" s="3" t="str">
        <f>CONCATENATE("NCCNZR58E17F044R")</f>
        <v>NCCNZR58E17F044R</v>
      </c>
      <c r="N1970" s="3" t="s">
        <v>1965</v>
      </c>
      <c r="O1970" s="3"/>
      <c r="P1970" s="4">
        <v>42783</v>
      </c>
      <c r="Q1970" s="3" t="s">
        <v>27</v>
      </c>
      <c r="R1970" s="3" t="s">
        <v>28</v>
      </c>
      <c r="S1970" s="3" t="s">
        <v>29</v>
      </c>
      <c r="T1970" s="5">
        <v>5367.73</v>
      </c>
      <c r="U1970" s="5">
        <v>2314.5700000000002</v>
      </c>
      <c r="V1970" s="5">
        <v>2137.4299999999998</v>
      </c>
      <c r="W1970" s="3">
        <v>915.73</v>
      </c>
    </row>
    <row r="1971" spans="1:23" ht="36.75">
      <c r="A1971" s="3" t="s">
        <v>23</v>
      </c>
      <c r="B1971" s="3" t="s">
        <v>24</v>
      </c>
      <c r="C1971" s="3" t="s">
        <v>35</v>
      </c>
      <c r="D1971" s="3" t="s">
        <v>36</v>
      </c>
      <c r="E1971" s="3" t="s">
        <v>34</v>
      </c>
      <c r="F1971" s="3" t="s">
        <v>273</v>
      </c>
      <c r="G1971" s="3">
        <v>2016</v>
      </c>
      <c r="H1971" s="3" t="str">
        <f>CONCATENATE("64240845244")</f>
        <v>64240845244</v>
      </c>
      <c r="I1971" s="3" t="s">
        <v>25</v>
      </c>
      <c r="J1971" s="3" t="s">
        <v>26</v>
      </c>
      <c r="K1971" s="3" t="str">
        <f t="shared" si="62"/>
        <v/>
      </c>
      <c r="L1971" s="3" t="str">
        <f t="shared" si="63"/>
        <v>11 11.2 4b</v>
      </c>
      <c r="M1971" s="3" t="str">
        <f>CONCATENATE("90000030446")</f>
        <v>90000030446</v>
      </c>
      <c r="N1971" s="3" t="s">
        <v>1966</v>
      </c>
      <c r="O1971" s="3"/>
      <c r="P1971" s="4">
        <v>42783</v>
      </c>
      <c r="Q1971" s="3" t="s">
        <v>27</v>
      </c>
      <c r="R1971" s="3" t="s">
        <v>28</v>
      </c>
      <c r="S1971" s="3" t="s">
        <v>29</v>
      </c>
      <c r="T1971" s="5">
        <v>4830.6400000000003</v>
      </c>
      <c r="U1971" s="5">
        <v>2082.9699999999998</v>
      </c>
      <c r="V1971" s="5">
        <v>1923.56</v>
      </c>
      <c r="W1971" s="3">
        <v>824.11</v>
      </c>
    </row>
    <row r="1972" spans="1:23" ht="36.75">
      <c r="A1972" s="3" t="s">
        <v>23</v>
      </c>
      <c r="B1972" s="3" t="s">
        <v>24</v>
      </c>
      <c r="C1972" s="3" t="s">
        <v>35</v>
      </c>
      <c r="D1972" s="3" t="s">
        <v>36</v>
      </c>
      <c r="E1972" s="3" t="s">
        <v>42</v>
      </c>
      <c r="F1972" s="3" t="s">
        <v>42</v>
      </c>
      <c r="G1972" s="3">
        <v>2016</v>
      </c>
      <c r="H1972" s="3" t="str">
        <f>CONCATENATE("64240120002")</f>
        <v>64240120002</v>
      </c>
      <c r="I1972" s="3" t="s">
        <v>25</v>
      </c>
      <c r="J1972" s="3" t="s">
        <v>26</v>
      </c>
      <c r="K1972" s="3" t="str">
        <f t="shared" si="62"/>
        <v/>
      </c>
      <c r="L1972" s="3" t="str">
        <f t="shared" si="63"/>
        <v>11 11.2 4b</v>
      </c>
      <c r="M1972" s="3" t="str">
        <f>CONCATENATE("01963440449")</f>
        <v>01963440449</v>
      </c>
      <c r="N1972" s="3" t="s">
        <v>1967</v>
      </c>
      <c r="O1972" s="3"/>
      <c r="P1972" s="4">
        <v>42783</v>
      </c>
      <c r="Q1972" s="3" t="s">
        <v>27</v>
      </c>
      <c r="R1972" s="3" t="s">
        <v>28</v>
      </c>
      <c r="S1972" s="3" t="s">
        <v>29</v>
      </c>
      <c r="T1972" s="5">
        <v>8665.2099999999991</v>
      </c>
      <c r="U1972" s="5">
        <v>3736.44</v>
      </c>
      <c r="V1972" s="5">
        <v>3450.49</v>
      </c>
      <c r="W1972" s="5">
        <v>1478.28</v>
      </c>
    </row>
    <row r="1973" spans="1:23" ht="36.75">
      <c r="A1973" s="3" t="s">
        <v>23</v>
      </c>
      <c r="B1973" s="3" t="s">
        <v>24</v>
      </c>
      <c r="C1973" s="3" t="s">
        <v>35</v>
      </c>
      <c r="D1973" s="3" t="s">
        <v>48</v>
      </c>
      <c r="E1973" s="3" t="s">
        <v>30</v>
      </c>
      <c r="F1973" s="3" t="s">
        <v>55</v>
      </c>
      <c r="G1973" s="3">
        <v>2016</v>
      </c>
      <c r="H1973" s="3" t="str">
        <f>CONCATENATE("64240653721")</f>
        <v>64240653721</v>
      </c>
      <c r="I1973" s="3" t="s">
        <v>25</v>
      </c>
      <c r="J1973" s="3" t="s">
        <v>26</v>
      </c>
      <c r="K1973" s="3" t="str">
        <f t="shared" si="62"/>
        <v/>
      </c>
      <c r="L1973" s="3" t="str">
        <f t="shared" si="63"/>
        <v>11 11.2 4b</v>
      </c>
      <c r="M1973" s="3" t="str">
        <f>CONCATENATE("01377400435")</f>
        <v>01377400435</v>
      </c>
      <c r="N1973" s="3" t="s">
        <v>1968</v>
      </c>
      <c r="O1973" s="3"/>
      <c r="P1973" s="4">
        <v>42783</v>
      </c>
      <c r="Q1973" s="3" t="s">
        <v>27</v>
      </c>
      <c r="R1973" s="3" t="s">
        <v>28</v>
      </c>
      <c r="S1973" s="3" t="s">
        <v>29</v>
      </c>
      <c r="T1973" s="5">
        <v>23273.03</v>
      </c>
      <c r="U1973" s="5">
        <v>10035.33</v>
      </c>
      <c r="V1973" s="5">
        <v>9267.32</v>
      </c>
      <c r="W1973" s="5">
        <v>3970.38</v>
      </c>
    </row>
    <row r="1974" spans="1:23" ht="60.75">
      <c r="A1974" s="3" t="s">
        <v>23</v>
      </c>
      <c r="B1974" s="3" t="s">
        <v>24</v>
      </c>
      <c r="C1974" s="3" t="s">
        <v>35</v>
      </c>
      <c r="D1974" s="3" t="s">
        <v>48</v>
      </c>
      <c r="E1974" s="3" t="s">
        <v>30</v>
      </c>
      <c r="F1974" s="3" t="s">
        <v>40</v>
      </c>
      <c r="G1974" s="3">
        <v>2016</v>
      </c>
      <c r="H1974" s="3" t="str">
        <f>CONCATENATE("64240427746")</f>
        <v>64240427746</v>
      </c>
      <c r="I1974" s="3" t="s">
        <v>25</v>
      </c>
      <c r="J1974" s="3" t="s">
        <v>26</v>
      </c>
      <c r="K1974" s="3" t="str">
        <f t="shared" si="62"/>
        <v/>
      </c>
      <c r="L1974" s="3" t="str">
        <f t="shared" si="63"/>
        <v>11 11.2 4b</v>
      </c>
      <c r="M1974" s="3" t="str">
        <f>CONCATENATE("FCLFNC70E05A329L")</f>
        <v>FCLFNC70E05A329L</v>
      </c>
      <c r="N1974" s="3" t="s">
        <v>1969</v>
      </c>
      <c r="O1974" s="3"/>
      <c r="P1974" s="4">
        <v>42783</v>
      </c>
      <c r="Q1974" s="3" t="s">
        <v>27</v>
      </c>
      <c r="R1974" s="3" t="s">
        <v>28</v>
      </c>
      <c r="S1974" s="3" t="s">
        <v>29</v>
      </c>
      <c r="T1974" s="5">
        <v>50405.48</v>
      </c>
      <c r="U1974" s="5">
        <v>21734.84</v>
      </c>
      <c r="V1974" s="5">
        <v>20071.46</v>
      </c>
      <c r="W1974" s="5">
        <v>8599.18</v>
      </c>
    </row>
    <row r="1975" spans="1:23" ht="36.75">
      <c r="A1975" s="3" t="s">
        <v>23</v>
      </c>
      <c r="B1975" s="3" t="s">
        <v>24</v>
      </c>
      <c r="C1975" s="3" t="s">
        <v>35</v>
      </c>
      <c r="D1975" s="3" t="s">
        <v>48</v>
      </c>
      <c r="E1975" s="3" t="s">
        <v>49</v>
      </c>
      <c r="F1975" s="3" t="s">
        <v>80</v>
      </c>
      <c r="G1975" s="3">
        <v>2016</v>
      </c>
      <c r="H1975" s="3" t="str">
        <f>CONCATENATE("64240261723")</f>
        <v>64240261723</v>
      </c>
      <c r="I1975" s="3" t="s">
        <v>25</v>
      </c>
      <c r="J1975" s="3" t="s">
        <v>26</v>
      </c>
      <c r="K1975" s="3" t="str">
        <f t="shared" si="62"/>
        <v/>
      </c>
      <c r="L1975" s="3" t="str">
        <f t="shared" si="63"/>
        <v>11 11.2 4b</v>
      </c>
      <c r="M1975" s="3" t="str">
        <f>CONCATENATE("01557370432")</f>
        <v>01557370432</v>
      </c>
      <c r="N1975" s="3" t="s">
        <v>1970</v>
      </c>
      <c r="O1975" s="3"/>
      <c r="P1975" s="4">
        <v>42783</v>
      </c>
      <c r="Q1975" s="3" t="s">
        <v>27</v>
      </c>
      <c r="R1975" s="3" t="s">
        <v>28</v>
      </c>
      <c r="S1975" s="3" t="s">
        <v>29</v>
      </c>
      <c r="T1975" s="5">
        <v>1306.8499999999999</v>
      </c>
      <c r="U1975" s="3">
        <v>563.51</v>
      </c>
      <c r="V1975" s="3">
        <v>520.39</v>
      </c>
      <c r="W1975" s="3">
        <v>222.95</v>
      </c>
    </row>
    <row r="1976" spans="1:23" ht="60.75">
      <c r="A1976" s="3" t="s">
        <v>23</v>
      </c>
      <c r="B1976" s="3" t="s">
        <v>24</v>
      </c>
      <c r="C1976" s="3" t="s">
        <v>35</v>
      </c>
      <c r="D1976" s="3" t="s">
        <v>36</v>
      </c>
      <c r="E1976" s="3" t="s">
        <v>32</v>
      </c>
      <c r="F1976" s="3" t="s">
        <v>179</v>
      </c>
      <c r="G1976" s="3">
        <v>2016</v>
      </c>
      <c r="H1976" s="3" t="str">
        <f>CONCATENATE("64210446395")</f>
        <v>64210446395</v>
      </c>
      <c r="I1976" s="3" t="s">
        <v>25</v>
      </c>
      <c r="J1976" s="3" t="s">
        <v>26</v>
      </c>
      <c r="K1976" s="3" t="str">
        <f t="shared" si="62"/>
        <v/>
      </c>
      <c r="L1976" s="3" t="str">
        <f>CONCATENATE("13 13.1 4a")</f>
        <v>13 13.1 4a</v>
      </c>
      <c r="M1976" s="3" t="str">
        <f>CONCATENATE("SPRLBN41L19F415T")</f>
        <v>SPRLBN41L19F415T</v>
      </c>
      <c r="N1976" s="3" t="s">
        <v>1971</v>
      </c>
      <c r="O1976" s="3"/>
      <c r="P1976" s="4">
        <v>42783</v>
      </c>
      <c r="Q1976" s="3" t="s">
        <v>27</v>
      </c>
      <c r="R1976" s="3" t="s">
        <v>28</v>
      </c>
      <c r="S1976" s="3" t="s">
        <v>29</v>
      </c>
      <c r="T1976" s="3">
        <v>780.01</v>
      </c>
      <c r="U1976" s="3">
        <v>336.34</v>
      </c>
      <c r="V1976" s="3">
        <v>310.60000000000002</v>
      </c>
      <c r="W1976" s="3">
        <v>133.07</v>
      </c>
    </row>
    <row r="1977" spans="1:23" ht="60.75">
      <c r="A1977" s="3" t="s">
        <v>23</v>
      </c>
      <c r="B1977" s="3" t="s">
        <v>24</v>
      </c>
      <c r="C1977" s="3" t="s">
        <v>35</v>
      </c>
      <c r="D1977" s="3" t="s">
        <v>48</v>
      </c>
      <c r="E1977" s="3" t="s">
        <v>49</v>
      </c>
      <c r="F1977" s="3" t="s">
        <v>80</v>
      </c>
      <c r="G1977" s="3">
        <v>2016</v>
      </c>
      <c r="H1977" s="3" t="str">
        <f>CONCATENATE("64210674103")</f>
        <v>64210674103</v>
      </c>
      <c r="I1977" s="3" t="s">
        <v>25</v>
      </c>
      <c r="J1977" s="3" t="s">
        <v>26</v>
      </c>
      <c r="K1977" s="3" t="str">
        <f t="shared" si="62"/>
        <v/>
      </c>
      <c r="L1977" s="3" t="str">
        <f>CONCATENATE("13 13.1 4a")</f>
        <v>13 13.1 4a</v>
      </c>
      <c r="M1977" s="3" t="str">
        <f>CONCATENATE("RCCLSU54R54D451K")</f>
        <v>RCCLSU54R54D451K</v>
      </c>
      <c r="N1977" s="3" t="s">
        <v>1972</v>
      </c>
      <c r="O1977" s="3"/>
      <c r="P1977" s="4">
        <v>42783</v>
      </c>
      <c r="Q1977" s="3" t="s">
        <v>27</v>
      </c>
      <c r="R1977" s="3" t="s">
        <v>28</v>
      </c>
      <c r="S1977" s="3" t="s">
        <v>29</v>
      </c>
      <c r="T1977" s="5">
        <v>4590</v>
      </c>
      <c r="U1977" s="5">
        <v>1979.21</v>
      </c>
      <c r="V1977" s="5">
        <v>1827.74</v>
      </c>
      <c r="W1977" s="3">
        <v>783.05</v>
      </c>
    </row>
    <row r="1978" spans="1:23" ht="36.75">
      <c r="A1978" s="3" t="s">
        <v>23</v>
      </c>
      <c r="B1978" s="3" t="s">
        <v>24</v>
      </c>
      <c r="C1978" s="3" t="s">
        <v>35</v>
      </c>
      <c r="D1978" s="3" t="s">
        <v>43</v>
      </c>
      <c r="E1978" s="3" t="s">
        <v>42</v>
      </c>
      <c r="F1978" s="3" t="s">
        <v>42</v>
      </c>
      <c r="G1978" s="3">
        <v>2016</v>
      </c>
      <c r="H1978" s="3" t="str">
        <f>CONCATENATE("64240880969")</f>
        <v>64240880969</v>
      </c>
      <c r="I1978" s="3" t="s">
        <v>25</v>
      </c>
      <c r="J1978" s="3" t="s">
        <v>26</v>
      </c>
      <c r="K1978" s="3" t="str">
        <f t="shared" si="62"/>
        <v/>
      </c>
      <c r="L1978" s="3" t="str">
        <f>CONCATENATE("11 11.2 4b")</f>
        <v>11 11.2 4b</v>
      </c>
      <c r="M1978" s="3" t="str">
        <f>CONCATENATE("02342680416")</f>
        <v>02342680416</v>
      </c>
      <c r="N1978" s="3" t="s">
        <v>1973</v>
      </c>
      <c r="O1978" s="3"/>
      <c r="P1978" s="4">
        <v>42783</v>
      </c>
      <c r="Q1978" s="3" t="s">
        <v>27</v>
      </c>
      <c r="R1978" s="3" t="s">
        <v>28</v>
      </c>
      <c r="S1978" s="3" t="s">
        <v>29</v>
      </c>
      <c r="T1978" s="5">
        <v>16664</v>
      </c>
      <c r="U1978" s="5">
        <v>7185.52</v>
      </c>
      <c r="V1978" s="5">
        <v>6635.6</v>
      </c>
      <c r="W1978" s="5">
        <v>2842.88</v>
      </c>
    </row>
    <row r="1979" spans="1:23" ht="60.75">
      <c r="A1979" s="3" t="s">
        <v>23</v>
      </c>
      <c r="B1979" s="3" t="s">
        <v>24</v>
      </c>
      <c r="C1979" s="3" t="s">
        <v>35</v>
      </c>
      <c r="D1979" s="3" t="s">
        <v>48</v>
      </c>
      <c r="E1979" s="3" t="s">
        <v>59</v>
      </c>
      <c r="F1979" s="3" t="s">
        <v>240</v>
      </c>
      <c r="G1979" s="3">
        <v>2016</v>
      </c>
      <c r="H1979" s="3" t="str">
        <f>CONCATENATE("64240403622")</f>
        <v>64240403622</v>
      </c>
      <c r="I1979" s="3" t="s">
        <v>25</v>
      </c>
      <c r="J1979" s="3" t="s">
        <v>26</v>
      </c>
      <c r="K1979" s="3" t="str">
        <f t="shared" si="62"/>
        <v/>
      </c>
      <c r="L1979" s="3" t="str">
        <f>CONCATENATE("11 11.1 4b")</f>
        <v>11 11.1 4b</v>
      </c>
      <c r="M1979" s="3" t="str">
        <f>CONCATENATE("FLSGRL87T22D451V")</f>
        <v>FLSGRL87T22D451V</v>
      </c>
      <c r="N1979" s="3" t="s">
        <v>1974</v>
      </c>
      <c r="O1979" s="3"/>
      <c r="P1979" s="4">
        <v>42783</v>
      </c>
      <c r="Q1979" s="3" t="s">
        <v>27</v>
      </c>
      <c r="R1979" s="3" t="s">
        <v>28</v>
      </c>
      <c r="S1979" s="3" t="s">
        <v>29</v>
      </c>
      <c r="T1979" s="5">
        <v>5686.5</v>
      </c>
      <c r="U1979" s="5">
        <v>2452.02</v>
      </c>
      <c r="V1979" s="5">
        <v>2264.36</v>
      </c>
      <c r="W1979" s="3">
        <v>970.12</v>
      </c>
    </row>
    <row r="1980" spans="1:23" ht="60.75">
      <c r="A1980" s="3" t="s">
        <v>23</v>
      </c>
      <c r="B1980" s="3" t="s">
        <v>24</v>
      </c>
      <c r="C1980" s="3" t="s">
        <v>35</v>
      </c>
      <c r="D1980" s="3" t="s">
        <v>48</v>
      </c>
      <c r="E1980" s="3" t="s">
        <v>30</v>
      </c>
      <c r="F1980" s="3" t="s">
        <v>157</v>
      </c>
      <c r="G1980" s="3">
        <v>2016</v>
      </c>
      <c r="H1980" s="3" t="str">
        <f>CONCATENATE("64240763447")</f>
        <v>64240763447</v>
      </c>
      <c r="I1980" s="3" t="s">
        <v>25</v>
      </c>
      <c r="J1980" s="3" t="s">
        <v>26</v>
      </c>
      <c r="K1980" s="3" t="str">
        <f t="shared" si="62"/>
        <v/>
      </c>
      <c r="L1980" s="3" t="str">
        <f>CONCATENATE("11 11.1 4b")</f>
        <v>11 11.1 4b</v>
      </c>
      <c r="M1980" s="3" t="str">
        <f>CONCATENATE("RSLDNL94T30A252S")</f>
        <v>RSLDNL94T30A252S</v>
      </c>
      <c r="N1980" s="3" t="s">
        <v>1736</v>
      </c>
      <c r="O1980" s="3"/>
      <c r="P1980" s="4">
        <v>42783</v>
      </c>
      <c r="Q1980" s="3" t="s">
        <v>27</v>
      </c>
      <c r="R1980" s="3" t="s">
        <v>28</v>
      </c>
      <c r="S1980" s="3" t="s">
        <v>29</v>
      </c>
      <c r="T1980" s="3">
        <v>861.53</v>
      </c>
      <c r="U1980" s="3">
        <v>371.49</v>
      </c>
      <c r="V1980" s="3">
        <v>343.06</v>
      </c>
      <c r="W1980" s="3">
        <v>146.97999999999999</v>
      </c>
    </row>
    <row r="1981" spans="1:23" ht="60.75">
      <c r="A1981" s="3" t="s">
        <v>23</v>
      </c>
      <c r="B1981" s="3" t="s">
        <v>24</v>
      </c>
      <c r="C1981" s="3" t="s">
        <v>35</v>
      </c>
      <c r="D1981" s="3" t="s">
        <v>48</v>
      </c>
      <c r="E1981" s="3" t="s">
        <v>30</v>
      </c>
      <c r="F1981" s="3" t="s">
        <v>91</v>
      </c>
      <c r="G1981" s="3">
        <v>2016</v>
      </c>
      <c r="H1981" s="3" t="str">
        <f>CONCATENATE("64210527426")</f>
        <v>64210527426</v>
      </c>
      <c r="I1981" s="3" t="s">
        <v>25</v>
      </c>
      <c r="J1981" s="3" t="s">
        <v>26</v>
      </c>
      <c r="K1981" s="3" t="str">
        <f t="shared" si="62"/>
        <v/>
      </c>
      <c r="L1981" s="3" t="str">
        <f>CONCATENATE("13 13.1 4a")</f>
        <v>13 13.1 4a</v>
      </c>
      <c r="M1981" s="3" t="str">
        <f>CONCATENATE("PRNGSL51S13G657Q")</f>
        <v>PRNGSL51S13G657Q</v>
      </c>
      <c r="N1981" s="3" t="s">
        <v>1975</v>
      </c>
      <c r="O1981" s="3"/>
      <c r="P1981" s="4">
        <v>42783</v>
      </c>
      <c r="Q1981" s="3" t="s">
        <v>27</v>
      </c>
      <c r="R1981" s="3" t="s">
        <v>28</v>
      </c>
      <c r="S1981" s="3" t="s">
        <v>29</v>
      </c>
      <c r="T1981" s="5">
        <v>1014.18</v>
      </c>
      <c r="U1981" s="3">
        <v>437.31</v>
      </c>
      <c r="V1981" s="3">
        <v>403.85</v>
      </c>
      <c r="W1981" s="3">
        <v>173.02</v>
      </c>
    </row>
    <row r="1982" spans="1:23" ht="36.75">
      <c r="A1982" s="3" t="s">
        <v>23</v>
      </c>
      <c r="B1982" s="3" t="s">
        <v>24</v>
      </c>
      <c r="C1982" s="3" t="s">
        <v>35</v>
      </c>
      <c r="D1982" s="3" t="s">
        <v>43</v>
      </c>
      <c r="E1982" s="3" t="s">
        <v>32</v>
      </c>
      <c r="F1982" s="3" t="s">
        <v>119</v>
      </c>
      <c r="G1982" s="3">
        <v>2016</v>
      </c>
      <c r="H1982" s="3" t="str">
        <f>CONCATENATE("64240661286")</f>
        <v>64240661286</v>
      </c>
      <c r="I1982" s="3" t="s">
        <v>25</v>
      </c>
      <c r="J1982" s="3" t="s">
        <v>26</v>
      </c>
      <c r="K1982" s="3" t="str">
        <f t="shared" si="62"/>
        <v/>
      </c>
      <c r="L1982" s="3" t="str">
        <f>CONCATENATE("11 11.2 4b")</f>
        <v>11 11.2 4b</v>
      </c>
      <c r="M1982" s="3" t="str">
        <f>CONCATENATE("02179880410")</f>
        <v>02179880410</v>
      </c>
      <c r="N1982" s="3" t="s">
        <v>1976</v>
      </c>
      <c r="O1982" s="3"/>
      <c r="P1982" s="4">
        <v>42783</v>
      </c>
      <c r="Q1982" s="3" t="s">
        <v>27</v>
      </c>
      <c r="R1982" s="3" t="s">
        <v>28</v>
      </c>
      <c r="S1982" s="3" t="s">
        <v>29</v>
      </c>
      <c r="T1982" s="5">
        <v>6552.59</v>
      </c>
      <c r="U1982" s="5">
        <v>2825.48</v>
      </c>
      <c r="V1982" s="5">
        <v>2609.2399999999998</v>
      </c>
      <c r="W1982" s="5">
        <v>1117.8699999999999</v>
      </c>
    </row>
    <row r="1983" spans="1:23" ht="60.75">
      <c r="A1983" s="3" t="s">
        <v>23</v>
      </c>
      <c r="B1983" s="3" t="s">
        <v>24</v>
      </c>
      <c r="C1983" s="3" t="s">
        <v>35</v>
      </c>
      <c r="D1983" s="3" t="s">
        <v>36</v>
      </c>
      <c r="E1983" s="3" t="s">
        <v>33</v>
      </c>
      <c r="F1983" s="3" t="s">
        <v>192</v>
      </c>
      <c r="G1983" s="3">
        <v>2016</v>
      </c>
      <c r="H1983" s="3" t="str">
        <f>CONCATENATE("64240686499")</f>
        <v>64240686499</v>
      </c>
      <c r="I1983" s="3" t="s">
        <v>25</v>
      </c>
      <c r="J1983" s="3" t="s">
        <v>26</v>
      </c>
      <c r="K1983" s="3" t="str">
        <f t="shared" si="62"/>
        <v/>
      </c>
      <c r="L1983" s="3" t="str">
        <f>CONCATENATE("11 11.2 4b")</f>
        <v>11 11.2 4b</v>
      </c>
      <c r="M1983" s="3" t="str">
        <f>CONCATENATE("CLLMRA65H30F415F")</f>
        <v>CLLMRA65H30F415F</v>
      </c>
      <c r="N1983" s="3" t="s">
        <v>1977</v>
      </c>
      <c r="O1983" s="3"/>
      <c r="P1983" s="4">
        <v>42783</v>
      </c>
      <c r="Q1983" s="3" t="s">
        <v>27</v>
      </c>
      <c r="R1983" s="3" t="s">
        <v>28</v>
      </c>
      <c r="S1983" s="3" t="s">
        <v>29</v>
      </c>
      <c r="T1983" s="5">
        <v>4152.3500000000004</v>
      </c>
      <c r="U1983" s="5">
        <v>1790.49</v>
      </c>
      <c r="V1983" s="5">
        <v>1653.47</v>
      </c>
      <c r="W1983" s="3">
        <v>708.39</v>
      </c>
    </row>
    <row r="1984" spans="1:23" ht="36.75">
      <c r="A1984" s="3" t="s">
        <v>23</v>
      </c>
      <c r="B1984" s="3" t="s">
        <v>24</v>
      </c>
      <c r="C1984" s="3" t="s">
        <v>35</v>
      </c>
      <c r="D1984" s="3" t="s">
        <v>36</v>
      </c>
      <c r="E1984" s="3" t="s">
        <v>135</v>
      </c>
      <c r="F1984" s="3" t="s">
        <v>136</v>
      </c>
      <c r="G1984" s="3">
        <v>2016</v>
      </c>
      <c r="H1984" s="3" t="str">
        <f>CONCATENATE("64210641771")</f>
        <v>64210641771</v>
      </c>
      <c r="I1984" s="3" t="s">
        <v>25</v>
      </c>
      <c r="J1984" s="3" t="s">
        <v>26</v>
      </c>
      <c r="K1984" s="3" t="str">
        <f t="shared" si="62"/>
        <v/>
      </c>
      <c r="L1984" s="3" t="str">
        <f>CONCATENATE("13 13.1 4a")</f>
        <v>13 13.1 4a</v>
      </c>
      <c r="M1984" s="3" t="str">
        <f>CONCATENATE("01824040438")</f>
        <v>01824040438</v>
      </c>
      <c r="N1984" s="3" t="s">
        <v>1978</v>
      </c>
      <c r="O1984" s="3"/>
      <c r="P1984" s="4">
        <v>42783</v>
      </c>
      <c r="Q1984" s="3" t="s">
        <v>27</v>
      </c>
      <c r="R1984" s="3" t="s">
        <v>28</v>
      </c>
      <c r="S1984" s="3" t="s">
        <v>29</v>
      </c>
      <c r="T1984" s="5">
        <v>4590</v>
      </c>
      <c r="U1984" s="5">
        <v>1979.21</v>
      </c>
      <c r="V1984" s="5">
        <v>1827.74</v>
      </c>
      <c r="W1984" s="3">
        <v>783.05</v>
      </c>
    </row>
    <row r="1985" spans="1:23" ht="72.75">
      <c r="A1985" s="3" t="s">
        <v>23</v>
      </c>
      <c r="B1985" s="3" t="s">
        <v>24</v>
      </c>
      <c r="C1985" s="3" t="s">
        <v>35</v>
      </c>
      <c r="D1985" s="3" t="s">
        <v>39</v>
      </c>
      <c r="E1985" s="3" t="s">
        <v>32</v>
      </c>
      <c r="F1985" s="3" t="s">
        <v>117</v>
      </c>
      <c r="G1985" s="3">
        <v>2016</v>
      </c>
      <c r="H1985" s="3" t="str">
        <f>CONCATENATE("64240485637")</f>
        <v>64240485637</v>
      </c>
      <c r="I1985" s="3" t="s">
        <v>25</v>
      </c>
      <c r="J1985" s="3" t="s">
        <v>26</v>
      </c>
      <c r="K1985" s="3" t="str">
        <f t="shared" si="62"/>
        <v/>
      </c>
      <c r="L1985" s="3" t="str">
        <f>CONCATENATE("11 11.2 4b")</f>
        <v>11 11.2 4b</v>
      </c>
      <c r="M1985" s="3" t="str">
        <f>CONCATENATE("CNZMSM59C20C267H")</f>
        <v>CNZMSM59C20C267H</v>
      </c>
      <c r="N1985" s="3" t="s">
        <v>1979</v>
      </c>
      <c r="O1985" s="3"/>
      <c r="P1985" s="4">
        <v>42783</v>
      </c>
      <c r="Q1985" s="3" t="s">
        <v>27</v>
      </c>
      <c r="R1985" s="3" t="s">
        <v>28</v>
      </c>
      <c r="S1985" s="3" t="s">
        <v>29</v>
      </c>
      <c r="T1985" s="3">
        <v>598.30999999999995</v>
      </c>
      <c r="U1985" s="3">
        <v>257.99</v>
      </c>
      <c r="V1985" s="3">
        <v>238.25</v>
      </c>
      <c r="W1985" s="3">
        <v>102.07</v>
      </c>
    </row>
    <row r="1986" spans="1:23" ht="60.75">
      <c r="A1986" s="3" t="s">
        <v>23</v>
      </c>
      <c r="B1986" s="3" t="s">
        <v>24</v>
      </c>
      <c r="C1986" s="3" t="s">
        <v>35</v>
      </c>
      <c r="D1986" s="3" t="s">
        <v>43</v>
      </c>
      <c r="E1986" s="3" t="s">
        <v>32</v>
      </c>
      <c r="F1986" s="3" t="s">
        <v>78</v>
      </c>
      <c r="G1986" s="3">
        <v>2016</v>
      </c>
      <c r="H1986" s="3" t="str">
        <f>CONCATENATE("64240580346")</f>
        <v>64240580346</v>
      </c>
      <c r="I1986" s="3" t="s">
        <v>25</v>
      </c>
      <c r="J1986" s="3" t="s">
        <v>26</v>
      </c>
      <c r="K1986" s="3" t="str">
        <f t="shared" si="62"/>
        <v/>
      </c>
      <c r="L1986" s="3" t="str">
        <f>CONCATENATE("11 11.2 4b")</f>
        <v>11 11.2 4b</v>
      </c>
      <c r="M1986" s="3" t="str">
        <f>CONCATENATE("GLNNTN48T30D541L")</f>
        <v>GLNNTN48T30D541L</v>
      </c>
      <c r="N1986" s="3" t="s">
        <v>1980</v>
      </c>
      <c r="O1986" s="3"/>
      <c r="P1986" s="4">
        <v>42783</v>
      </c>
      <c r="Q1986" s="3" t="s">
        <v>27</v>
      </c>
      <c r="R1986" s="3" t="s">
        <v>28</v>
      </c>
      <c r="S1986" s="3" t="s">
        <v>29</v>
      </c>
      <c r="T1986" s="3">
        <v>483.64</v>
      </c>
      <c r="U1986" s="3">
        <v>208.55</v>
      </c>
      <c r="V1986" s="3">
        <v>192.59</v>
      </c>
      <c r="W1986" s="3">
        <v>82.5</v>
      </c>
    </row>
    <row r="1987" spans="1:23" ht="36.75">
      <c r="A1987" s="3" t="s">
        <v>23</v>
      </c>
      <c r="B1987" s="3" t="s">
        <v>24</v>
      </c>
      <c r="C1987" s="3" t="s">
        <v>35</v>
      </c>
      <c r="D1987" s="3" t="s">
        <v>43</v>
      </c>
      <c r="E1987" s="3" t="s">
        <v>49</v>
      </c>
      <c r="F1987" s="3" t="s">
        <v>276</v>
      </c>
      <c r="G1987" s="3">
        <v>2016</v>
      </c>
      <c r="H1987" s="3" t="str">
        <f>CONCATENATE("64240635785")</f>
        <v>64240635785</v>
      </c>
      <c r="I1987" s="3" t="s">
        <v>25</v>
      </c>
      <c r="J1987" s="3" t="s">
        <v>26</v>
      </c>
      <c r="K1987" s="3" t="str">
        <f t="shared" si="62"/>
        <v/>
      </c>
      <c r="L1987" s="3" t="str">
        <f>CONCATENATE("11 11.2 4b")</f>
        <v>11 11.2 4b</v>
      </c>
      <c r="M1987" s="3" t="str">
        <f>CONCATENATE("02386680413")</f>
        <v>02386680413</v>
      </c>
      <c r="N1987" s="3" t="s">
        <v>1981</v>
      </c>
      <c r="O1987" s="3"/>
      <c r="P1987" s="4">
        <v>42783</v>
      </c>
      <c r="Q1987" s="3" t="s">
        <v>27</v>
      </c>
      <c r="R1987" s="3" t="s">
        <v>28</v>
      </c>
      <c r="S1987" s="3" t="s">
        <v>29</v>
      </c>
      <c r="T1987" s="5">
        <v>2937.45</v>
      </c>
      <c r="U1987" s="5">
        <v>1266.6300000000001</v>
      </c>
      <c r="V1987" s="5">
        <v>1169.69</v>
      </c>
      <c r="W1987" s="3">
        <v>501.13</v>
      </c>
    </row>
    <row r="1988" spans="1:23" ht="60.75">
      <c r="A1988" s="3" t="s">
        <v>23</v>
      </c>
      <c r="B1988" s="3" t="s">
        <v>24</v>
      </c>
      <c r="C1988" s="3" t="s">
        <v>35</v>
      </c>
      <c r="D1988" s="3" t="s">
        <v>43</v>
      </c>
      <c r="E1988" s="3" t="s">
        <v>30</v>
      </c>
      <c r="F1988" s="3" t="s">
        <v>124</v>
      </c>
      <c r="G1988" s="3">
        <v>2016</v>
      </c>
      <c r="H1988" s="3" t="str">
        <f>CONCATENATE("64211044488")</f>
        <v>64211044488</v>
      </c>
      <c r="I1988" s="3" t="s">
        <v>25</v>
      </c>
      <c r="J1988" s="3" t="s">
        <v>26</v>
      </c>
      <c r="K1988" s="3" t="str">
        <f t="shared" si="62"/>
        <v/>
      </c>
      <c r="L1988" s="3" t="str">
        <f>CONCATENATE("13 13.1 4a")</f>
        <v>13 13.1 4a</v>
      </c>
      <c r="M1988" s="3" t="str">
        <f>CONCATENATE("GBLGRL36S26B026C")</f>
        <v>GBLGRL36S26B026C</v>
      </c>
      <c r="N1988" s="3" t="s">
        <v>1982</v>
      </c>
      <c r="O1988" s="3"/>
      <c r="P1988" s="4">
        <v>42783</v>
      </c>
      <c r="Q1988" s="3" t="s">
        <v>27</v>
      </c>
      <c r="R1988" s="3" t="s">
        <v>28</v>
      </c>
      <c r="S1988" s="3" t="s">
        <v>29</v>
      </c>
      <c r="T1988" s="3">
        <v>837.3</v>
      </c>
      <c r="U1988" s="3">
        <v>361.04</v>
      </c>
      <c r="V1988" s="3">
        <v>333.41</v>
      </c>
      <c r="W1988" s="3">
        <v>142.85</v>
      </c>
    </row>
    <row r="1989" spans="1:23" ht="60.75">
      <c r="A1989" s="3" t="s">
        <v>23</v>
      </c>
      <c r="B1989" s="3" t="s">
        <v>24</v>
      </c>
      <c r="C1989" s="3" t="s">
        <v>35</v>
      </c>
      <c r="D1989" s="3" t="s">
        <v>39</v>
      </c>
      <c r="E1989" s="3" t="s">
        <v>32</v>
      </c>
      <c r="F1989" s="3" t="s">
        <v>69</v>
      </c>
      <c r="G1989" s="3">
        <v>2016</v>
      </c>
      <c r="H1989" s="3" t="str">
        <f>CONCATENATE("64240510202")</f>
        <v>64240510202</v>
      </c>
      <c r="I1989" s="3" t="s">
        <v>25</v>
      </c>
      <c r="J1989" s="3" t="s">
        <v>26</v>
      </c>
      <c r="K1989" s="3" t="str">
        <f t="shared" si="62"/>
        <v/>
      </c>
      <c r="L1989" s="3" t="str">
        <f>CONCATENATE("11 11.1 4b")</f>
        <v>11 11.1 4b</v>
      </c>
      <c r="M1989" s="3" t="str">
        <f>CONCATENATE("VTLLRD83M18D451C")</f>
        <v>VTLLRD83M18D451C</v>
      </c>
      <c r="N1989" s="3" t="s">
        <v>1983</v>
      </c>
      <c r="O1989" s="3"/>
      <c r="P1989" s="4">
        <v>42783</v>
      </c>
      <c r="Q1989" s="3" t="s">
        <v>27</v>
      </c>
      <c r="R1989" s="3" t="s">
        <v>28</v>
      </c>
      <c r="S1989" s="3" t="s">
        <v>29</v>
      </c>
      <c r="T1989" s="5">
        <v>1148.6300000000001</v>
      </c>
      <c r="U1989" s="3">
        <v>495.29</v>
      </c>
      <c r="V1989" s="3">
        <v>457.38</v>
      </c>
      <c r="W1989" s="3">
        <v>195.96</v>
      </c>
    </row>
    <row r="1990" spans="1:23" ht="60.75">
      <c r="A1990" s="3" t="s">
        <v>23</v>
      </c>
      <c r="B1990" s="3" t="s">
        <v>24</v>
      </c>
      <c r="C1990" s="3" t="s">
        <v>35</v>
      </c>
      <c r="D1990" s="3" t="s">
        <v>43</v>
      </c>
      <c r="E1990" s="3" t="s">
        <v>32</v>
      </c>
      <c r="F1990" s="3" t="s">
        <v>78</v>
      </c>
      <c r="G1990" s="3">
        <v>2016</v>
      </c>
      <c r="H1990" s="3" t="str">
        <f>CONCATENATE("64210645699")</f>
        <v>64210645699</v>
      </c>
      <c r="I1990" s="3" t="s">
        <v>25</v>
      </c>
      <c r="J1990" s="3" t="s">
        <v>26</v>
      </c>
      <c r="K1990" s="3" t="str">
        <f t="shared" si="62"/>
        <v/>
      </c>
      <c r="L1990" s="3" t="str">
        <f>CONCATENATE("13 13.1 4a")</f>
        <v>13 13.1 4a</v>
      </c>
      <c r="M1990" s="3" t="str">
        <f>CONCATENATE("BLDMRA62L20D024Z")</f>
        <v>BLDMRA62L20D024Z</v>
      </c>
      <c r="N1990" s="3" t="s">
        <v>79</v>
      </c>
      <c r="O1990" s="3"/>
      <c r="P1990" s="4">
        <v>42783</v>
      </c>
      <c r="Q1990" s="3" t="s">
        <v>27</v>
      </c>
      <c r="R1990" s="3" t="s">
        <v>28</v>
      </c>
      <c r="S1990" s="3" t="s">
        <v>29</v>
      </c>
      <c r="T1990" s="5">
        <v>2191.38</v>
      </c>
      <c r="U1990" s="3">
        <v>944.92</v>
      </c>
      <c r="V1990" s="3">
        <v>872.61</v>
      </c>
      <c r="W1990" s="3">
        <v>373.85</v>
      </c>
    </row>
    <row r="1991" spans="1:23" ht="60.75">
      <c r="A1991" s="3" t="s">
        <v>23</v>
      </c>
      <c r="B1991" s="3" t="s">
        <v>24</v>
      </c>
      <c r="C1991" s="3" t="s">
        <v>35</v>
      </c>
      <c r="D1991" s="3" t="s">
        <v>39</v>
      </c>
      <c r="E1991" s="3" t="s">
        <v>32</v>
      </c>
      <c r="F1991" s="3" t="s">
        <v>119</v>
      </c>
      <c r="G1991" s="3">
        <v>2016</v>
      </c>
      <c r="H1991" s="3" t="str">
        <f>CONCATENATE("64240545893")</f>
        <v>64240545893</v>
      </c>
      <c r="I1991" s="3" t="s">
        <v>25</v>
      </c>
      <c r="J1991" s="3" t="s">
        <v>26</v>
      </c>
      <c r="K1991" s="3" t="str">
        <f t="shared" si="62"/>
        <v/>
      </c>
      <c r="L1991" s="3" t="str">
        <f>CONCATENATE("10 10.1 4a")</f>
        <v>10 10.1 4a</v>
      </c>
      <c r="M1991" s="3" t="str">
        <f>CONCATENATE("BSSGDI83R56E388J")</f>
        <v>BSSGDI83R56E388J</v>
      </c>
      <c r="N1991" s="3" t="s">
        <v>1607</v>
      </c>
      <c r="O1991" s="3"/>
      <c r="P1991" s="4">
        <v>42783</v>
      </c>
      <c r="Q1991" s="3" t="s">
        <v>27</v>
      </c>
      <c r="R1991" s="3" t="s">
        <v>28</v>
      </c>
      <c r="S1991" s="3" t="s">
        <v>29</v>
      </c>
      <c r="T1991" s="5">
        <v>11498.99</v>
      </c>
      <c r="U1991" s="5">
        <v>4958.3599999999997</v>
      </c>
      <c r="V1991" s="5">
        <v>4578.8999999999996</v>
      </c>
      <c r="W1991" s="5">
        <v>1961.73</v>
      </c>
    </row>
    <row r="1992" spans="1:23" ht="72.75">
      <c r="A1992" s="3" t="s">
        <v>23</v>
      </c>
      <c r="B1992" s="3" t="s">
        <v>24</v>
      </c>
      <c r="C1992" s="3" t="s">
        <v>35</v>
      </c>
      <c r="D1992" s="3" t="s">
        <v>36</v>
      </c>
      <c r="E1992" s="3" t="s">
        <v>42</v>
      </c>
      <c r="F1992" s="3" t="s">
        <v>42</v>
      </c>
      <c r="G1992" s="3">
        <v>2016</v>
      </c>
      <c r="H1992" s="3" t="str">
        <f>CONCATENATE("64240683322")</f>
        <v>64240683322</v>
      </c>
      <c r="I1992" s="3" t="s">
        <v>25</v>
      </c>
      <c r="J1992" s="3" t="s">
        <v>26</v>
      </c>
      <c r="K1992" s="3" t="str">
        <f t="shared" si="62"/>
        <v/>
      </c>
      <c r="L1992" s="3" t="str">
        <f>CONCATENATE("11 11.1 4b")</f>
        <v>11 11.1 4b</v>
      </c>
      <c r="M1992" s="3" t="str">
        <f>CONCATENATE("GBRMRC83D18H769Q")</f>
        <v>GBRMRC83D18H769Q</v>
      </c>
      <c r="N1992" s="3" t="s">
        <v>1984</v>
      </c>
      <c r="O1992" s="3"/>
      <c r="P1992" s="4">
        <v>42783</v>
      </c>
      <c r="Q1992" s="3" t="s">
        <v>27</v>
      </c>
      <c r="R1992" s="3" t="s">
        <v>28</v>
      </c>
      <c r="S1992" s="3" t="s">
        <v>29</v>
      </c>
      <c r="T1992" s="3">
        <v>857.93</v>
      </c>
      <c r="U1992" s="3">
        <v>369.94</v>
      </c>
      <c r="V1992" s="3">
        <v>341.63</v>
      </c>
      <c r="W1992" s="3">
        <v>146.36000000000001</v>
      </c>
    </row>
    <row r="1993" spans="1:23" ht="36.75">
      <c r="A1993" s="3" t="s">
        <v>23</v>
      </c>
      <c r="B1993" s="3" t="s">
        <v>24</v>
      </c>
      <c r="C1993" s="3" t="s">
        <v>35</v>
      </c>
      <c r="D1993" s="3" t="s">
        <v>36</v>
      </c>
      <c r="E1993" s="3" t="s">
        <v>42</v>
      </c>
      <c r="F1993" s="3" t="s">
        <v>42</v>
      </c>
      <c r="G1993" s="3">
        <v>2016</v>
      </c>
      <c r="H1993" s="3" t="str">
        <f>CONCATENATE("64240146130")</f>
        <v>64240146130</v>
      </c>
      <c r="I1993" s="3" t="s">
        <v>25</v>
      </c>
      <c r="J1993" s="3" t="s">
        <v>26</v>
      </c>
      <c r="K1993" s="3" t="str">
        <f t="shared" si="62"/>
        <v/>
      </c>
      <c r="L1993" s="3" t="str">
        <f>CONCATENATE("11 11.2 4b")</f>
        <v>11 11.2 4b</v>
      </c>
      <c r="M1993" s="3" t="str">
        <f>CONCATENATE("01647760444")</f>
        <v>01647760444</v>
      </c>
      <c r="N1993" s="3" t="s">
        <v>1985</v>
      </c>
      <c r="O1993" s="3"/>
      <c r="P1993" s="4">
        <v>42783</v>
      </c>
      <c r="Q1993" s="3" t="s">
        <v>27</v>
      </c>
      <c r="R1993" s="3" t="s">
        <v>28</v>
      </c>
      <c r="S1993" s="3" t="s">
        <v>29</v>
      </c>
      <c r="T1993" s="5">
        <v>1989.69</v>
      </c>
      <c r="U1993" s="3">
        <v>857.95</v>
      </c>
      <c r="V1993" s="3">
        <v>792.29</v>
      </c>
      <c r="W1993" s="3">
        <v>339.45</v>
      </c>
    </row>
    <row r="1994" spans="1:23" ht="60.75">
      <c r="A1994" s="3" t="s">
        <v>23</v>
      </c>
      <c r="B1994" s="3" t="s">
        <v>24</v>
      </c>
      <c r="C1994" s="3" t="s">
        <v>35</v>
      </c>
      <c r="D1994" s="3" t="s">
        <v>36</v>
      </c>
      <c r="E1994" s="3" t="s">
        <v>32</v>
      </c>
      <c r="F1994" s="3" t="s">
        <v>127</v>
      </c>
      <c r="G1994" s="3">
        <v>2016</v>
      </c>
      <c r="H1994" s="3" t="str">
        <f>CONCATENATE("64210827016")</f>
        <v>64210827016</v>
      </c>
      <c r="I1994" s="3" t="s">
        <v>25</v>
      </c>
      <c r="J1994" s="3" t="s">
        <v>26</v>
      </c>
      <c r="K1994" s="3" t="str">
        <f t="shared" si="62"/>
        <v/>
      </c>
      <c r="L1994" s="3" t="str">
        <f>CONCATENATE("13 13.1 4a")</f>
        <v>13 13.1 4a</v>
      </c>
      <c r="M1994" s="3" t="str">
        <f>CONCATENATE("TTVGCM54T11F509H")</f>
        <v>TTVGCM54T11F509H</v>
      </c>
      <c r="N1994" s="3" t="s">
        <v>1986</v>
      </c>
      <c r="O1994" s="3"/>
      <c r="P1994" s="4">
        <v>42783</v>
      </c>
      <c r="Q1994" s="3" t="s">
        <v>27</v>
      </c>
      <c r="R1994" s="3" t="s">
        <v>28</v>
      </c>
      <c r="S1994" s="3" t="s">
        <v>29</v>
      </c>
      <c r="T1994" s="5">
        <v>3773.41</v>
      </c>
      <c r="U1994" s="5">
        <v>1627.09</v>
      </c>
      <c r="V1994" s="5">
        <v>1502.57</v>
      </c>
      <c r="W1994" s="3">
        <v>643.75</v>
      </c>
    </row>
    <row r="1995" spans="1:23" ht="60.75">
      <c r="A1995" s="3" t="s">
        <v>23</v>
      </c>
      <c r="B1995" s="3" t="s">
        <v>24</v>
      </c>
      <c r="C1995" s="3" t="s">
        <v>35</v>
      </c>
      <c r="D1995" s="3" t="s">
        <v>39</v>
      </c>
      <c r="E1995" s="3" t="s">
        <v>32</v>
      </c>
      <c r="F1995" s="3" t="s">
        <v>117</v>
      </c>
      <c r="G1995" s="3">
        <v>2016</v>
      </c>
      <c r="H1995" s="3" t="str">
        <f>CONCATENATE("64240555272")</f>
        <v>64240555272</v>
      </c>
      <c r="I1995" s="3" t="s">
        <v>25</v>
      </c>
      <c r="J1995" s="3" t="s">
        <v>26</v>
      </c>
      <c r="K1995" s="3" t="str">
        <f t="shared" si="62"/>
        <v/>
      </c>
      <c r="L1995" s="3" t="str">
        <f>CONCATENATE("11 11.2 4b")</f>
        <v>11 11.2 4b</v>
      </c>
      <c r="M1995" s="3" t="str">
        <f>CONCATENATE("BBRLBR55S07I608W")</f>
        <v>BBRLBR55S07I608W</v>
      </c>
      <c r="N1995" s="3" t="s">
        <v>1987</v>
      </c>
      <c r="O1995" s="3"/>
      <c r="P1995" s="4">
        <v>42783</v>
      </c>
      <c r="Q1995" s="3" t="s">
        <v>27</v>
      </c>
      <c r="R1995" s="3" t="s">
        <v>28</v>
      </c>
      <c r="S1995" s="3" t="s">
        <v>29</v>
      </c>
      <c r="T1995" s="5">
        <v>3786.53</v>
      </c>
      <c r="U1995" s="5">
        <v>1632.75</v>
      </c>
      <c r="V1995" s="5">
        <v>1507.8</v>
      </c>
      <c r="W1995" s="3">
        <v>645.98</v>
      </c>
    </row>
    <row r="1996" spans="1:23" ht="36.75">
      <c r="A1996" s="3" t="s">
        <v>23</v>
      </c>
      <c r="B1996" s="3" t="s">
        <v>24</v>
      </c>
      <c r="C1996" s="3" t="s">
        <v>35</v>
      </c>
      <c r="D1996" s="3" t="s">
        <v>43</v>
      </c>
      <c r="E1996" s="3" t="s">
        <v>32</v>
      </c>
      <c r="F1996" s="3" t="s">
        <v>78</v>
      </c>
      <c r="G1996" s="3">
        <v>2016</v>
      </c>
      <c r="H1996" s="3" t="str">
        <f>CONCATENATE("64240593976")</f>
        <v>64240593976</v>
      </c>
      <c r="I1996" s="3" t="s">
        <v>25</v>
      </c>
      <c r="J1996" s="3" t="s">
        <v>26</v>
      </c>
      <c r="K1996" s="3" t="str">
        <f t="shared" si="62"/>
        <v/>
      </c>
      <c r="L1996" s="3" t="str">
        <f>CONCATENATE("11 11.2 4b")</f>
        <v>11 11.2 4b</v>
      </c>
      <c r="M1996" s="3" t="str">
        <f>CONCATENATE("01159570413")</f>
        <v>01159570413</v>
      </c>
      <c r="N1996" s="3" t="s">
        <v>1988</v>
      </c>
      <c r="O1996" s="3"/>
      <c r="P1996" s="4">
        <v>42783</v>
      </c>
      <c r="Q1996" s="3" t="s">
        <v>27</v>
      </c>
      <c r="R1996" s="3" t="s">
        <v>28</v>
      </c>
      <c r="S1996" s="3" t="s">
        <v>29</v>
      </c>
      <c r="T1996" s="5">
        <v>10555.98</v>
      </c>
      <c r="U1996" s="5">
        <v>4551.74</v>
      </c>
      <c r="V1996" s="5">
        <v>4203.3900000000003</v>
      </c>
      <c r="W1996" s="5">
        <v>1800.85</v>
      </c>
    </row>
    <row r="1997" spans="1:23" ht="36.75">
      <c r="A1997" s="3" t="s">
        <v>23</v>
      </c>
      <c r="B1997" s="3" t="s">
        <v>24</v>
      </c>
      <c r="C1997" s="3" t="s">
        <v>35</v>
      </c>
      <c r="D1997" s="3" t="s">
        <v>43</v>
      </c>
      <c r="E1997" s="3" t="s">
        <v>30</v>
      </c>
      <c r="F1997" s="3" t="s">
        <v>124</v>
      </c>
      <c r="G1997" s="3">
        <v>2016</v>
      </c>
      <c r="H1997" s="3" t="str">
        <f>CONCATENATE("64240749412")</f>
        <v>64240749412</v>
      </c>
      <c r="I1997" s="3" t="s">
        <v>25</v>
      </c>
      <c r="J1997" s="3" t="s">
        <v>26</v>
      </c>
      <c r="K1997" s="3" t="str">
        <f t="shared" si="62"/>
        <v/>
      </c>
      <c r="L1997" s="3" t="str">
        <f>CONCATENATE("11 11.2 4b")</f>
        <v>11 11.2 4b</v>
      </c>
      <c r="M1997" s="3" t="str">
        <f>CONCATENATE("01480720414")</f>
        <v>01480720414</v>
      </c>
      <c r="N1997" s="3" t="s">
        <v>1989</v>
      </c>
      <c r="O1997" s="3"/>
      <c r="P1997" s="4">
        <v>42783</v>
      </c>
      <c r="Q1997" s="3" t="s">
        <v>27</v>
      </c>
      <c r="R1997" s="3" t="s">
        <v>28</v>
      </c>
      <c r="S1997" s="3" t="s">
        <v>29</v>
      </c>
      <c r="T1997" s="5">
        <v>4176.26</v>
      </c>
      <c r="U1997" s="5">
        <v>1800.8</v>
      </c>
      <c r="V1997" s="5">
        <v>1662.99</v>
      </c>
      <c r="W1997" s="3">
        <v>712.47</v>
      </c>
    </row>
    <row r="1998" spans="1:23" ht="60.75">
      <c r="A1998" s="3" t="s">
        <v>23</v>
      </c>
      <c r="B1998" s="3" t="s">
        <v>24</v>
      </c>
      <c r="C1998" s="3" t="s">
        <v>35</v>
      </c>
      <c r="D1998" s="3" t="s">
        <v>43</v>
      </c>
      <c r="E1998" s="3" t="s">
        <v>34</v>
      </c>
      <c r="F1998" s="3" t="s">
        <v>146</v>
      </c>
      <c r="G1998" s="3">
        <v>2016</v>
      </c>
      <c r="H1998" s="3" t="str">
        <f>CONCATENATE("64240336574")</f>
        <v>64240336574</v>
      </c>
      <c r="I1998" s="3" t="s">
        <v>25</v>
      </c>
      <c r="J1998" s="3" t="s">
        <v>26</v>
      </c>
      <c r="K1998" s="3" t="str">
        <f t="shared" si="62"/>
        <v/>
      </c>
      <c r="L1998" s="3" t="str">
        <f>CONCATENATE("11 11.1 4b")</f>
        <v>11 11.1 4b</v>
      </c>
      <c r="M1998" s="3" t="str">
        <f>CONCATENATE("BRBDVD64S19H501C")</f>
        <v>BRBDVD64S19H501C</v>
      </c>
      <c r="N1998" s="3" t="s">
        <v>1990</v>
      </c>
      <c r="O1998" s="3"/>
      <c r="P1998" s="4">
        <v>42783</v>
      </c>
      <c r="Q1998" s="3" t="s">
        <v>27</v>
      </c>
      <c r="R1998" s="3" t="s">
        <v>28</v>
      </c>
      <c r="S1998" s="3" t="s">
        <v>29</v>
      </c>
      <c r="T1998" s="5">
        <v>5903.5</v>
      </c>
      <c r="U1998" s="5">
        <v>2545.59</v>
      </c>
      <c r="V1998" s="5">
        <v>2350.77</v>
      </c>
      <c r="W1998" s="5">
        <v>1007.14</v>
      </c>
    </row>
    <row r="1999" spans="1:23" ht="60.75">
      <c r="A1999" s="3" t="s">
        <v>23</v>
      </c>
      <c r="B1999" s="3" t="s">
        <v>24</v>
      </c>
      <c r="C1999" s="3" t="s">
        <v>35</v>
      </c>
      <c r="D1999" s="3" t="s">
        <v>39</v>
      </c>
      <c r="E1999" s="3" t="s">
        <v>34</v>
      </c>
      <c r="F1999" s="3" t="s">
        <v>170</v>
      </c>
      <c r="G1999" s="3">
        <v>2016</v>
      </c>
      <c r="H1999" s="3" t="str">
        <f>CONCATENATE("64240665618")</f>
        <v>64240665618</v>
      </c>
      <c r="I1999" s="3" t="s">
        <v>25</v>
      </c>
      <c r="J1999" s="3" t="s">
        <v>26</v>
      </c>
      <c r="K1999" s="3" t="str">
        <f t="shared" si="62"/>
        <v/>
      </c>
      <c r="L1999" s="3" t="str">
        <f>CONCATENATE("11 11.2 4b")</f>
        <v>11 11.2 4b</v>
      </c>
      <c r="M1999" s="3" t="str">
        <f>CONCATENATE("TNFGRL70T14D007X")</f>
        <v>TNFGRL70T14D007X</v>
      </c>
      <c r="N1999" s="3" t="s">
        <v>1991</v>
      </c>
      <c r="O1999" s="3"/>
      <c r="P1999" s="4">
        <v>42783</v>
      </c>
      <c r="Q1999" s="3" t="s">
        <v>27</v>
      </c>
      <c r="R1999" s="3" t="s">
        <v>28</v>
      </c>
      <c r="S1999" s="3" t="s">
        <v>29</v>
      </c>
      <c r="T1999" s="5">
        <v>2575.66</v>
      </c>
      <c r="U1999" s="5">
        <v>1110.6199999999999</v>
      </c>
      <c r="V1999" s="5">
        <v>1025.6300000000001</v>
      </c>
      <c r="W1999" s="3">
        <v>439.41</v>
      </c>
    </row>
    <row r="2000" spans="1:23" ht="60.75">
      <c r="A2000" s="3" t="s">
        <v>23</v>
      </c>
      <c r="B2000" s="3" t="s">
        <v>24</v>
      </c>
      <c r="C2000" s="3" t="s">
        <v>35</v>
      </c>
      <c r="D2000" s="3" t="s">
        <v>43</v>
      </c>
      <c r="E2000" s="3" t="s">
        <v>30</v>
      </c>
      <c r="F2000" s="3" t="s">
        <v>76</v>
      </c>
      <c r="G2000" s="3">
        <v>2016</v>
      </c>
      <c r="H2000" s="3" t="str">
        <f>CONCATENATE("64210091423")</f>
        <v>64210091423</v>
      </c>
      <c r="I2000" s="3" t="s">
        <v>31</v>
      </c>
      <c r="J2000" s="3" t="s">
        <v>26</v>
      </c>
      <c r="K2000" s="3" t="str">
        <f t="shared" si="62"/>
        <v/>
      </c>
      <c r="L2000" s="3" t="str">
        <f>CONCATENATE("13 13.1 4a")</f>
        <v>13 13.1 4a</v>
      </c>
      <c r="M2000" s="3" t="str">
        <f>CONCATENATE("PCCMSM74P14I459T")</f>
        <v>PCCMSM74P14I459T</v>
      </c>
      <c r="N2000" s="3" t="s">
        <v>1025</v>
      </c>
      <c r="O2000" s="3"/>
      <c r="P2000" s="4">
        <v>42783</v>
      </c>
      <c r="Q2000" s="3" t="s">
        <v>27</v>
      </c>
      <c r="R2000" s="3" t="s">
        <v>28</v>
      </c>
      <c r="S2000" s="3" t="s">
        <v>29</v>
      </c>
      <c r="T2000" s="5">
        <v>3592.8</v>
      </c>
      <c r="U2000" s="5">
        <v>1549.22</v>
      </c>
      <c r="V2000" s="5">
        <v>1430.65</v>
      </c>
      <c r="W2000" s="3">
        <v>612.92999999999995</v>
      </c>
    </row>
    <row r="2001" spans="1:23" ht="60.75">
      <c r="A2001" s="3" t="s">
        <v>23</v>
      </c>
      <c r="B2001" s="3" t="s">
        <v>24</v>
      </c>
      <c r="C2001" s="3" t="s">
        <v>35</v>
      </c>
      <c r="D2001" s="3" t="s">
        <v>36</v>
      </c>
      <c r="E2001" s="3" t="s">
        <v>32</v>
      </c>
      <c r="F2001" s="3" t="s">
        <v>208</v>
      </c>
      <c r="G2001" s="3">
        <v>2016</v>
      </c>
      <c r="H2001" s="3" t="str">
        <f>CONCATENATE("64240279196")</f>
        <v>64240279196</v>
      </c>
      <c r="I2001" s="3" t="s">
        <v>25</v>
      </c>
      <c r="J2001" s="3" t="s">
        <v>26</v>
      </c>
      <c r="K2001" s="3" t="str">
        <f t="shared" si="62"/>
        <v/>
      </c>
      <c r="L2001" s="3" t="str">
        <f>CONCATENATE("11 11.2 4b")</f>
        <v>11 11.2 4b</v>
      </c>
      <c r="M2001" s="3" t="str">
        <f>CONCATENATE("NSPMTR63C48G005U")</f>
        <v>NSPMTR63C48G005U</v>
      </c>
      <c r="N2001" s="3" t="s">
        <v>1992</v>
      </c>
      <c r="O2001" s="3"/>
      <c r="P2001" s="4">
        <v>42783</v>
      </c>
      <c r="Q2001" s="3" t="s">
        <v>27</v>
      </c>
      <c r="R2001" s="3" t="s">
        <v>28</v>
      </c>
      <c r="S2001" s="3" t="s">
        <v>29</v>
      </c>
      <c r="T2001" s="5">
        <v>2843</v>
      </c>
      <c r="U2001" s="5">
        <v>1225.9000000000001</v>
      </c>
      <c r="V2001" s="5">
        <v>1132.08</v>
      </c>
      <c r="W2001" s="3">
        <v>485.02</v>
      </c>
    </row>
    <row r="2002" spans="1:23" ht="60.75">
      <c r="A2002" s="3" t="s">
        <v>23</v>
      </c>
      <c r="B2002" s="3" t="s">
        <v>24</v>
      </c>
      <c r="C2002" s="3" t="s">
        <v>35</v>
      </c>
      <c r="D2002" s="3" t="s">
        <v>39</v>
      </c>
      <c r="E2002" s="3" t="s">
        <v>32</v>
      </c>
      <c r="F2002" s="3" t="s">
        <v>69</v>
      </c>
      <c r="G2002" s="3">
        <v>2016</v>
      </c>
      <c r="H2002" s="3" t="str">
        <f>CONCATENATE("64240525200")</f>
        <v>64240525200</v>
      </c>
      <c r="I2002" s="3" t="s">
        <v>25</v>
      </c>
      <c r="J2002" s="3" t="s">
        <v>26</v>
      </c>
      <c r="K2002" s="3" t="str">
        <f t="shared" ref="K2002:K2065" si="64">CONCATENATE("")</f>
        <v/>
      </c>
      <c r="L2002" s="3" t="str">
        <f>CONCATENATE("10 10.1 4a")</f>
        <v>10 10.1 4a</v>
      </c>
      <c r="M2002" s="3" t="str">
        <f>CONCATENATE("CLDNLS83C09I608S")</f>
        <v>CLDNLS83C09I608S</v>
      </c>
      <c r="N2002" s="3" t="s">
        <v>627</v>
      </c>
      <c r="O2002" s="3"/>
      <c r="P2002" s="4">
        <v>42783</v>
      </c>
      <c r="Q2002" s="3" t="s">
        <v>27</v>
      </c>
      <c r="R2002" s="3" t="s">
        <v>28</v>
      </c>
      <c r="S2002" s="3" t="s">
        <v>29</v>
      </c>
      <c r="T2002" s="3">
        <v>149.83000000000001</v>
      </c>
      <c r="U2002" s="3">
        <v>64.61</v>
      </c>
      <c r="V2002" s="3">
        <v>59.66</v>
      </c>
      <c r="W2002" s="3">
        <v>25.56</v>
      </c>
    </row>
    <row r="2003" spans="1:23" ht="60.75">
      <c r="A2003" s="3" t="s">
        <v>23</v>
      </c>
      <c r="B2003" s="3" t="s">
        <v>24</v>
      </c>
      <c r="C2003" s="3" t="s">
        <v>35</v>
      </c>
      <c r="D2003" s="3" t="s">
        <v>36</v>
      </c>
      <c r="E2003" s="3" t="s">
        <v>30</v>
      </c>
      <c r="F2003" s="3" t="s">
        <v>257</v>
      </c>
      <c r="G2003" s="3">
        <v>2016</v>
      </c>
      <c r="H2003" s="3" t="str">
        <f>CONCATENATE("64240426938")</f>
        <v>64240426938</v>
      </c>
      <c r="I2003" s="3" t="s">
        <v>25</v>
      </c>
      <c r="J2003" s="3" t="s">
        <v>26</v>
      </c>
      <c r="K2003" s="3" t="str">
        <f t="shared" si="64"/>
        <v/>
      </c>
      <c r="L2003" s="3" t="str">
        <f>CONCATENATE("11 11.2 4b")</f>
        <v>11 11.2 4b</v>
      </c>
      <c r="M2003" s="3" t="str">
        <f>CONCATENATE("CRVLCN62A58I324Z")</f>
        <v>CRVLCN62A58I324Z</v>
      </c>
      <c r="N2003" s="3" t="s">
        <v>1993</v>
      </c>
      <c r="O2003" s="3"/>
      <c r="P2003" s="4">
        <v>42783</v>
      </c>
      <c r="Q2003" s="3" t="s">
        <v>27</v>
      </c>
      <c r="R2003" s="3" t="s">
        <v>28</v>
      </c>
      <c r="S2003" s="3" t="s">
        <v>29</v>
      </c>
      <c r="T2003" s="5">
        <v>1097.69</v>
      </c>
      <c r="U2003" s="3">
        <v>473.32</v>
      </c>
      <c r="V2003" s="3">
        <v>437.1</v>
      </c>
      <c r="W2003" s="3">
        <v>187.27</v>
      </c>
    </row>
    <row r="2004" spans="1:23" ht="60.75">
      <c r="A2004" s="3" t="s">
        <v>23</v>
      </c>
      <c r="B2004" s="3" t="s">
        <v>24</v>
      </c>
      <c r="C2004" s="3" t="s">
        <v>35</v>
      </c>
      <c r="D2004" s="3" t="s">
        <v>48</v>
      </c>
      <c r="E2004" s="3" t="s">
        <v>49</v>
      </c>
      <c r="F2004" s="3" t="s">
        <v>80</v>
      </c>
      <c r="G2004" s="3">
        <v>2016</v>
      </c>
      <c r="H2004" s="3" t="str">
        <f>CONCATENATE("64210671877")</f>
        <v>64210671877</v>
      </c>
      <c r="I2004" s="3" t="s">
        <v>25</v>
      </c>
      <c r="J2004" s="3" t="s">
        <v>26</v>
      </c>
      <c r="K2004" s="3" t="str">
        <f t="shared" si="64"/>
        <v/>
      </c>
      <c r="L2004" s="3" t="str">
        <f>CONCATENATE("13 13.1 4a")</f>
        <v>13 13.1 4a</v>
      </c>
      <c r="M2004" s="3" t="str">
        <f>CONCATENATE("SSLFTN52D01C527S")</f>
        <v>SSLFTN52D01C527S</v>
      </c>
      <c r="N2004" s="3" t="s">
        <v>1994</v>
      </c>
      <c r="O2004" s="3"/>
      <c r="P2004" s="4">
        <v>42783</v>
      </c>
      <c r="Q2004" s="3" t="s">
        <v>27</v>
      </c>
      <c r="R2004" s="3" t="s">
        <v>28</v>
      </c>
      <c r="S2004" s="3" t="s">
        <v>29</v>
      </c>
      <c r="T2004" s="5">
        <v>3202.66</v>
      </c>
      <c r="U2004" s="5">
        <v>1380.99</v>
      </c>
      <c r="V2004" s="5">
        <v>1275.3</v>
      </c>
      <c r="W2004" s="3">
        <v>546.37</v>
      </c>
    </row>
    <row r="2005" spans="1:23" ht="36.75">
      <c r="A2005" s="3" t="s">
        <v>23</v>
      </c>
      <c r="B2005" s="3" t="s">
        <v>24</v>
      </c>
      <c r="C2005" s="3" t="s">
        <v>35</v>
      </c>
      <c r="D2005" s="3" t="s">
        <v>36</v>
      </c>
      <c r="E2005" s="3" t="s">
        <v>59</v>
      </c>
      <c r="F2005" s="3" t="s">
        <v>62</v>
      </c>
      <c r="G2005" s="3">
        <v>2016</v>
      </c>
      <c r="H2005" s="3" t="str">
        <f>CONCATENATE("64240649349")</f>
        <v>64240649349</v>
      </c>
      <c r="I2005" s="3" t="s">
        <v>25</v>
      </c>
      <c r="J2005" s="3" t="s">
        <v>26</v>
      </c>
      <c r="K2005" s="3" t="str">
        <f t="shared" si="64"/>
        <v/>
      </c>
      <c r="L2005" s="3" t="str">
        <f>CONCATENATE("11 11.1 4b")</f>
        <v>11 11.1 4b</v>
      </c>
      <c r="M2005" s="3" t="str">
        <f>CONCATENATE("02274600440")</f>
        <v>02274600440</v>
      </c>
      <c r="N2005" s="3" t="s">
        <v>1995</v>
      </c>
      <c r="O2005" s="3"/>
      <c r="P2005" s="4">
        <v>42783</v>
      </c>
      <c r="Q2005" s="3" t="s">
        <v>27</v>
      </c>
      <c r="R2005" s="3" t="s">
        <v>28</v>
      </c>
      <c r="S2005" s="3" t="s">
        <v>29</v>
      </c>
      <c r="T2005" s="3">
        <v>348.9</v>
      </c>
      <c r="U2005" s="3">
        <v>150.44999999999999</v>
      </c>
      <c r="V2005" s="3">
        <v>138.93</v>
      </c>
      <c r="W2005" s="3">
        <v>59.52</v>
      </c>
    </row>
    <row r="2006" spans="1:23" ht="60.75">
      <c r="A2006" s="3" t="s">
        <v>23</v>
      </c>
      <c r="B2006" s="3" t="s">
        <v>24</v>
      </c>
      <c r="C2006" s="3" t="s">
        <v>35</v>
      </c>
      <c r="D2006" s="3" t="s">
        <v>36</v>
      </c>
      <c r="E2006" s="3" t="s">
        <v>30</v>
      </c>
      <c r="F2006" s="3" t="s">
        <v>37</v>
      </c>
      <c r="G2006" s="3">
        <v>2016</v>
      </c>
      <c r="H2006" s="3" t="str">
        <f>CONCATENATE("64210745135")</f>
        <v>64210745135</v>
      </c>
      <c r="I2006" s="3" t="s">
        <v>25</v>
      </c>
      <c r="J2006" s="3" t="s">
        <v>26</v>
      </c>
      <c r="K2006" s="3" t="str">
        <f t="shared" si="64"/>
        <v/>
      </c>
      <c r="L2006" s="3" t="str">
        <f>CONCATENATE("13 13.1 4a")</f>
        <v>13 13.1 4a</v>
      </c>
      <c r="M2006" s="3" t="str">
        <f>CONCATENATE("VLLPRM37B23H588A")</f>
        <v>VLLPRM37B23H588A</v>
      </c>
      <c r="N2006" s="3" t="s">
        <v>1996</v>
      </c>
      <c r="O2006" s="3"/>
      <c r="P2006" s="4">
        <v>42783</v>
      </c>
      <c r="Q2006" s="3" t="s">
        <v>27</v>
      </c>
      <c r="R2006" s="3" t="s">
        <v>28</v>
      </c>
      <c r="S2006" s="3" t="s">
        <v>29</v>
      </c>
      <c r="T2006" s="5">
        <v>1208.17</v>
      </c>
      <c r="U2006" s="3">
        <v>520.96</v>
      </c>
      <c r="V2006" s="3">
        <v>481.09</v>
      </c>
      <c r="W2006" s="3">
        <v>206.12</v>
      </c>
    </row>
    <row r="2007" spans="1:23" ht="72.75">
      <c r="A2007" s="3" t="s">
        <v>23</v>
      </c>
      <c r="B2007" s="3" t="s">
        <v>24</v>
      </c>
      <c r="C2007" s="3" t="s">
        <v>35</v>
      </c>
      <c r="D2007" s="3" t="s">
        <v>39</v>
      </c>
      <c r="E2007" s="3" t="s">
        <v>30</v>
      </c>
      <c r="F2007" s="3" t="s">
        <v>40</v>
      </c>
      <c r="G2007" s="3">
        <v>2016</v>
      </c>
      <c r="H2007" s="3" t="str">
        <f>CONCATENATE("64240658100")</f>
        <v>64240658100</v>
      </c>
      <c r="I2007" s="3" t="s">
        <v>25</v>
      </c>
      <c r="J2007" s="3" t="s">
        <v>26</v>
      </c>
      <c r="K2007" s="3" t="str">
        <f t="shared" si="64"/>
        <v/>
      </c>
      <c r="L2007" s="3" t="str">
        <f>CONCATENATE("11 11.1 4b")</f>
        <v>11 11.1 4b</v>
      </c>
      <c r="M2007" s="3" t="str">
        <f>CONCATENATE("PRLRMN73B44E388N")</f>
        <v>PRLRMN73B44E388N</v>
      </c>
      <c r="N2007" s="3" t="s">
        <v>1163</v>
      </c>
      <c r="O2007" s="3"/>
      <c r="P2007" s="4">
        <v>42783</v>
      </c>
      <c r="Q2007" s="3" t="s">
        <v>27</v>
      </c>
      <c r="R2007" s="3" t="s">
        <v>28</v>
      </c>
      <c r="S2007" s="3" t="s">
        <v>29</v>
      </c>
      <c r="T2007" s="5">
        <v>6709.21</v>
      </c>
      <c r="U2007" s="5">
        <v>2893.01</v>
      </c>
      <c r="V2007" s="5">
        <v>2671.61</v>
      </c>
      <c r="W2007" s="5">
        <v>1144.5899999999999</v>
      </c>
    </row>
    <row r="2008" spans="1:23" ht="36.75">
      <c r="A2008" s="3" t="s">
        <v>23</v>
      </c>
      <c r="B2008" s="3" t="s">
        <v>24</v>
      </c>
      <c r="C2008" s="3" t="s">
        <v>35</v>
      </c>
      <c r="D2008" s="3" t="s">
        <v>43</v>
      </c>
      <c r="E2008" s="3" t="s">
        <v>49</v>
      </c>
      <c r="F2008" s="3" t="s">
        <v>276</v>
      </c>
      <c r="G2008" s="3">
        <v>2016</v>
      </c>
      <c r="H2008" s="3" t="str">
        <f>CONCATENATE("64240387445")</f>
        <v>64240387445</v>
      </c>
      <c r="I2008" s="3" t="s">
        <v>25</v>
      </c>
      <c r="J2008" s="3" t="s">
        <v>26</v>
      </c>
      <c r="K2008" s="3" t="str">
        <f t="shared" si="64"/>
        <v/>
      </c>
      <c r="L2008" s="3" t="str">
        <f>CONCATENATE("11 11.1 4b")</f>
        <v>11 11.1 4b</v>
      </c>
      <c r="M2008" s="3" t="str">
        <f>CONCATENATE("02573370414")</f>
        <v>02573370414</v>
      </c>
      <c r="N2008" s="3" t="s">
        <v>1997</v>
      </c>
      <c r="O2008" s="3"/>
      <c r="P2008" s="4">
        <v>42783</v>
      </c>
      <c r="Q2008" s="3" t="s">
        <v>27</v>
      </c>
      <c r="R2008" s="3" t="s">
        <v>28</v>
      </c>
      <c r="S2008" s="3" t="s">
        <v>29</v>
      </c>
      <c r="T2008" s="5">
        <v>2040.44</v>
      </c>
      <c r="U2008" s="3">
        <v>879.84</v>
      </c>
      <c r="V2008" s="3">
        <v>812.5</v>
      </c>
      <c r="W2008" s="3">
        <v>348.1</v>
      </c>
    </row>
    <row r="2009" spans="1:23" ht="36.75">
      <c r="A2009" s="3" t="s">
        <v>23</v>
      </c>
      <c r="B2009" s="3" t="s">
        <v>24</v>
      </c>
      <c r="C2009" s="3" t="s">
        <v>35</v>
      </c>
      <c r="D2009" s="3" t="s">
        <v>48</v>
      </c>
      <c r="E2009" s="3" t="s">
        <v>49</v>
      </c>
      <c r="F2009" s="3" t="s">
        <v>80</v>
      </c>
      <c r="G2009" s="3">
        <v>2016</v>
      </c>
      <c r="H2009" s="3" t="str">
        <f>CONCATENATE("64210677015")</f>
        <v>64210677015</v>
      </c>
      <c r="I2009" s="3" t="s">
        <v>25</v>
      </c>
      <c r="J2009" s="3" t="s">
        <v>26</v>
      </c>
      <c r="K2009" s="3" t="str">
        <f t="shared" si="64"/>
        <v/>
      </c>
      <c r="L2009" s="3" t="str">
        <f>CONCATENATE("13 13.1 4a")</f>
        <v>13 13.1 4a</v>
      </c>
      <c r="M2009" s="3" t="str">
        <f>CONCATENATE("01158080430")</f>
        <v>01158080430</v>
      </c>
      <c r="N2009" s="3" t="s">
        <v>1998</v>
      </c>
      <c r="O2009" s="3"/>
      <c r="P2009" s="4">
        <v>42783</v>
      </c>
      <c r="Q2009" s="3" t="s">
        <v>27</v>
      </c>
      <c r="R2009" s="3" t="s">
        <v>28</v>
      </c>
      <c r="S2009" s="3" t="s">
        <v>29</v>
      </c>
      <c r="T2009" s="5">
        <v>4590</v>
      </c>
      <c r="U2009" s="5">
        <v>1979.21</v>
      </c>
      <c r="V2009" s="5">
        <v>1827.74</v>
      </c>
      <c r="W2009" s="3">
        <v>783.05</v>
      </c>
    </row>
    <row r="2010" spans="1:23" ht="60.75">
      <c r="A2010" s="3" t="s">
        <v>23</v>
      </c>
      <c r="B2010" s="3" t="s">
        <v>24</v>
      </c>
      <c r="C2010" s="3" t="s">
        <v>35</v>
      </c>
      <c r="D2010" s="3" t="s">
        <v>43</v>
      </c>
      <c r="E2010" s="3" t="s">
        <v>32</v>
      </c>
      <c r="F2010" s="3" t="s">
        <v>119</v>
      </c>
      <c r="G2010" s="3">
        <v>2016</v>
      </c>
      <c r="H2010" s="3" t="str">
        <f>CONCATENATE("64240512521")</f>
        <v>64240512521</v>
      </c>
      <c r="I2010" s="3" t="s">
        <v>25</v>
      </c>
      <c r="J2010" s="3" t="s">
        <v>26</v>
      </c>
      <c r="K2010" s="3" t="str">
        <f t="shared" si="64"/>
        <v/>
      </c>
      <c r="L2010" s="3" t="str">
        <f>CONCATENATE("11 11.2 4b")</f>
        <v>11 11.2 4b</v>
      </c>
      <c r="M2010" s="3" t="str">
        <f>CONCATENATE("TNGMRA53S69H958N")</f>
        <v>TNGMRA53S69H958N</v>
      </c>
      <c r="N2010" s="3" t="s">
        <v>1999</v>
      </c>
      <c r="O2010" s="3"/>
      <c r="P2010" s="4">
        <v>42783</v>
      </c>
      <c r="Q2010" s="3" t="s">
        <v>27</v>
      </c>
      <c r="R2010" s="3" t="s">
        <v>28</v>
      </c>
      <c r="S2010" s="3" t="s">
        <v>29</v>
      </c>
      <c r="T2010" s="5">
        <v>18096.55</v>
      </c>
      <c r="U2010" s="5">
        <v>7803.23</v>
      </c>
      <c r="V2010" s="5">
        <v>7206.05</v>
      </c>
      <c r="W2010" s="5">
        <v>3087.27</v>
      </c>
    </row>
    <row r="2011" spans="1:23" ht="60.75">
      <c r="A2011" s="3" t="s">
        <v>23</v>
      </c>
      <c r="B2011" s="3" t="s">
        <v>24</v>
      </c>
      <c r="C2011" s="3" t="s">
        <v>35</v>
      </c>
      <c r="D2011" s="3" t="s">
        <v>36</v>
      </c>
      <c r="E2011" s="3" t="s">
        <v>30</v>
      </c>
      <c r="F2011" s="3" t="s">
        <v>37</v>
      </c>
      <c r="G2011" s="3">
        <v>2016</v>
      </c>
      <c r="H2011" s="3" t="str">
        <f>CONCATENATE("64240664371")</f>
        <v>64240664371</v>
      </c>
      <c r="I2011" s="3" t="s">
        <v>25</v>
      </c>
      <c r="J2011" s="3" t="s">
        <v>26</v>
      </c>
      <c r="K2011" s="3" t="str">
        <f t="shared" si="64"/>
        <v/>
      </c>
      <c r="L2011" s="3" t="str">
        <f>CONCATENATE("10 10.1 4b")</f>
        <v>10 10.1 4b</v>
      </c>
      <c r="M2011" s="3" t="str">
        <f>CONCATENATE("STPFRZ61M23G516U")</f>
        <v>STPFRZ61M23G516U</v>
      </c>
      <c r="N2011" s="3" t="s">
        <v>2000</v>
      </c>
      <c r="O2011" s="3"/>
      <c r="P2011" s="4">
        <v>42783</v>
      </c>
      <c r="Q2011" s="3" t="s">
        <v>27</v>
      </c>
      <c r="R2011" s="3" t="s">
        <v>28</v>
      </c>
      <c r="S2011" s="3" t="s">
        <v>29</v>
      </c>
      <c r="T2011" s="5">
        <v>2436.62</v>
      </c>
      <c r="U2011" s="5">
        <v>1050.67</v>
      </c>
      <c r="V2011" s="3">
        <v>970.26</v>
      </c>
      <c r="W2011" s="3">
        <v>415.69</v>
      </c>
    </row>
    <row r="2012" spans="1:23" ht="36.75">
      <c r="A2012" s="3" t="s">
        <v>23</v>
      </c>
      <c r="B2012" s="3" t="s">
        <v>24</v>
      </c>
      <c r="C2012" s="3" t="s">
        <v>35</v>
      </c>
      <c r="D2012" s="3" t="s">
        <v>43</v>
      </c>
      <c r="E2012" s="3" t="s">
        <v>32</v>
      </c>
      <c r="F2012" s="3" t="s">
        <v>119</v>
      </c>
      <c r="G2012" s="3">
        <v>2016</v>
      </c>
      <c r="H2012" s="3" t="str">
        <f>CONCATENATE("64210202095")</f>
        <v>64210202095</v>
      </c>
      <c r="I2012" s="3" t="s">
        <v>25</v>
      </c>
      <c r="J2012" s="3" t="s">
        <v>26</v>
      </c>
      <c r="K2012" s="3" t="str">
        <f t="shared" si="64"/>
        <v/>
      </c>
      <c r="L2012" s="3" t="str">
        <f>CONCATENATE("13 13.1 4a")</f>
        <v>13 13.1 4a</v>
      </c>
      <c r="M2012" s="3" t="str">
        <f>CONCATENATE("01425100417")</f>
        <v>01425100417</v>
      </c>
      <c r="N2012" s="3" t="s">
        <v>2001</v>
      </c>
      <c r="O2012" s="3"/>
      <c r="P2012" s="4">
        <v>42783</v>
      </c>
      <c r="Q2012" s="3" t="s">
        <v>27</v>
      </c>
      <c r="R2012" s="3" t="s">
        <v>28</v>
      </c>
      <c r="S2012" s="3" t="s">
        <v>29</v>
      </c>
      <c r="T2012" s="5">
        <v>1018.78</v>
      </c>
      <c r="U2012" s="3">
        <v>439.3</v>
      </c>
      <c r="V2012" s="3">
        <v>405.68</v>
      </c>
      <c r="W2012" s="3">
        <v>173.8</v>
      </c>
    </row>
    <row r="2013" spans="1:23" ht="60.75">
      <c r="A2013" s="3" t="s">
        <v>23</v>
      </c>
      <c r="B2013" s="3" t="s">
        <v>24</v>
      </c>
      <c r="C2013" s="3" t="s">
        <v>35</v>
      </c>
      <c r="D2013" s="3" t="s">
        <v>36</v>
      </c>
      <c r="E2013" s="3" t="s">
        <v>33</v>
      </c>
      <c r="F2013" s="3" t="s">
        <v>192</v>
      </c>
      <c r="G2013" s="3">
        <v>2016</v>
      </c>
      <c r="H2013" s="3" t="str">
        <f>CONCATENATE("64240259966")</f>
        <v>64240259966</v>
      </c>
      <c r="I2013" s="3" t="s">
        <v>25</v>
      </c>
      <c r="J2013" s="3" t="s">
        <v>26</v>
      </c>
      <c r="K2013" s="3" t="str">
        <f t="shared" si="64"/>
        <v/>
      </c>
      <c r="L2013" s="3" t="str">
        <f>CONCATENATE("11 11.1 4b")</f>
        <v>11 11.1 4b</v>
      </c>
      <c r="M2013" s="3" t="str">
        <f>CONCATENATE("GDCFPP65E25G005G")</f>
        <v>GDCFPP65E25G005G</v>
      </c>
      <c r="N2013" s="3" t="s">
        <v>2002</v>
      </c>
      <c r="O2013" s="3"/>
      <c r="P2013" s="4">
        <v>42783</v>
      </c>
      <c r="Q2013" s="3" t="s">
        <v>27</v>
      </c>
      <c r="R2013" s="3" t="s">
        <v>28</v>
      </c>
      <c r="S2013" s="3" t="s">
        <v>29</v>
      </c>
      <c r="T2013" s="5">
        <v>2075.83</v>
      </c>
      <c r="U2013" s="3">
        <v>895.1</v>
      </c>
      <c r="V2013" s="3">
        <v>826.6</v>
      </c>
      <c r="W2013" s="3">
        <v>354.13</v>
      </c>
    </row>
    <row r="2014" spans="1:23" ht="60.75">
      <c r="A2014" s="3" t="s">
        <v>23</v>
      </c>
      <c r="B2014" s="3" t="s">
        <v>24</v>
      </c>
      <c r="C2014" s="3" t="s">
        <v>35</v>
      </c>
      <c r="D2014" s="3" t="s">
        <v>43</v>
      </c>
      <c r="E2014" s="3" t="s">
        <v>30</v>
      </c>
      <c r="F2014" s="3" t="s">
        <v>124</v>
      </c>
      <c r="G2014" s="3">
        <v>2016</v>
      </c>
      <c r="H2014" s="3" t="str">
        <f>CONCATENATE("64210363020")</f>
        <v>64210363020</v>
      </c>
      <c r="I2014" s="3" t="s">
        <v>25</v>
      </c>
      <c r="J2014" s="3" t="s">
        <v>26</v>
      </c>
      <c r="K2014" s="3" t="str">
        <f t="shared" si="64"/>
        <v/>
      </c>
      <c r="L2014" s="3" t="str">
        <f>CONCATENATE("13 13.1 4a")</f>
        <v>13 13.1 4a</v>
      </c>
      <c r="M2014" s="3" t="str">
        <f>CONCATENATE("BRSNZR36B22I287K")</f>
        <v>BRSNZR36B22I287K</v>
      </c>
      <c r="N2014" s="3" t="s">
        <v>2003</v>
      </c>
      <c r="O2014" s="3"/>
      <c r="P2014" s="4">
        <v>42783</v>
      </c>
      <c r="Q2014" s="3" t="s">
        <v>27</v>
      </c>
      <c r="R2014" s="3" t="s">
        <v>28</v>
      </c>
      <c r="S2014" s="3" t="s">
        <v>29</v>
      </c>
      <c r="T2014" s="5">
        <v>1589.29</v>
      </c>
      <c r="U2014" s="3">
        <v>685.3</v>
      </c>
      <c r="V2014" s="3">
        <v>632.86</v>
      </c>
      <c r="W2014" s="3">
        <v>271.13</v>
      </c>
    </row>
    <row r="2015" spans="1:23" ht="60.75">
      <c r="A2015" s="3" t="s">
        <v>23</v>
      </c>
      <c r="B2015" s="3" t="s">
        <v>24</v>
      </c>
      <c r="C2015" s="3" t="s">
        <v>35</v>
      </c>
      <c r="D2015" s="3" t="s">
        <v>48</v>
      </c>
      <c r="E2015" s="3" t="s">
        <v>49</v>
      </c>
      <c r="F2015" s="3" t="s">
        <v>50</v>
      </c>
      <c r="G2015" s="3">
        <v>2016</v>
      </c>
      <c r="H2015" s="3" t="str">
        <f>CONCATENATE("64240323374")</f>
        <v>64240323374</v>
      </c>
      <c r="I2015" s="3" t="s">
        <v>25</v>
      </c>
      <c r="J2015" s="3" t="s">
        <v>26</v>
      </c>
      <c r="K2015" s="3" t="str">
        <f t="shared" si="64"/>
        <v/>
      </c>
      <c r="L2015" s="3" t="str">
        <f>CONCATENATE("11 11.2 4b")</f>
        <v>11 11.2 4b</v>
      </c>
      <c r="M2015" s="3" t="str">
        <f>CONCATENATE("SLTLCU82T63L191L")</f>
        <v>SLTLCU82T63L191L</v>
      </c>
      <c r="N2015" s="3" t="s">
        <v>2004</v>
      </c>
      <c r="O2015" s="3"/>
      <c r="P2015" s="4">
        <v>42783</v>
      </c>
      <c r="Q2015" s="3" t="s">
        <v>27</v>
      </c>
      <c r="R2015" s="3" t="s">
        <v>28</v>
      </c>
      <c r="S2015" s="3" t="s">
        <v>29</v>
      </c>
      <c r="T2015" s="5">
        <v>1893.56</v>
      </c>
      <c r="U2015" s="3">
        <v>816.5</v>
      </c>
      <c r="V2015" s="3">
        <v>754.02</v>
      </c>
      <c r="W2015" s="3">
        <v>323.04000000000002</v>
      </c>
    </row>
    <row r="2016" spans="1:23" ht="60.75">
      <c r="A2016" s="3" t="s">
        <v>23</v>
      </c>
      <c r="B2016" s="3" t="s">
        <v>24</v>
      </c>
      <c r="C2016" s="3" t="s">
        <v>35</v>
      </c>
      <c r="D2016" s="3" t="s">
        <v>43</v>
      </c>
      <c r="E2016" s="3" t="s">
        <v>30</v>
      </c>
      <c r="F2016" s="3" t="s">
        <v>131</v>
      </c>
      <c r="G2016" s="3">
        <v>2016</v>
      </c>
      <c r="H2016" s="3" t="str">
        <f>CONCATENATE("64240420980")</f>
        <v>64240420980</v>
      </c>
      <c r="I2016" s="3" t="s">
        <v>25</v>
      </c>
      <c r="J2016" s="3" t="s">
        <v>26</v>
      </c>
      <c r="K2016" s="3" t="str">
        <f t="shared" si="64"/>
        <v/>
      </c>
      <c r="L2016" s="3" t="str">
        <f>CONCATENATE("11 11.1 4b")</f>
        <v>11 11.1 4b</v>
      </c>
      <c r="M2016" s="3" t="str">
        <f>CONCATENATE("MNCLBN52A12I344G")</f>
        <v>MNCLBN52A12I344G</v>
      </c>
      <c r="N2016" s="3" t="s">
        <v>2005</v>
      </c>
      <c r="O2016" s="3"/>
      <c r="P2016" s="4">
        <v>42783</v>
      </c>
      <c r="Q2016" s="3" t="s">
        <v>27</v>
      </c>
      <c r="R2016" s="3" t="s">
        <v>28</v>
      </c>
      <c r="S2016" s="3" t="s">
        <v>29</v>
      </c>
      <c r="T2016" s="5">
        <v>11929.52</v>
      </c>
      <c r="U2016" s="5">
        <v>5144.01</v>
      </c>
      <c r="V2016" s="5">
        <v>4750.33</v>
      </c>
      <c r="W2016" s="5">
        <v>2035.18</v>
      </c>
    </row>
    <row r="2017" spans="1:23" ht="60.75">
      <c r="A2017" s="3" t="s">
        <v>23</v>
      </c>
      <c r="B2017" s="3" t="s">
        <v>24</v>
      </c>
      <c r="C2017" s="3" t="s">
        <v>35</v>
      </c>
      <c r="D2017" s="3" t="s">
        <v>43</v>
      </c>
      <c r="E2017" s="3" t="s">
        <v>33</v>
      </c>
      <c r="F2017" s="3" t="s">
        <v>584</v>
      </c>
      <c r="G2017" s="3">
        <v>2016</v>
      </c>
      <c r="H2017" s="3" t="str">
        <f>CONCATENATE("64240344917")</f>
        <v>64240344917</v>
      </c>
      <c r="I2017" s="3" t="s">
        <v>25</v>
      </c>
      <c r="J2017" s="3" t="s">
        <v>26</v>
      </c>
      <c r="K2017" s="3" t="str">
        <f t="shared" si="64"/>
        <v/>
      </c>
      <c r="L2017" s="3" t="str">
        <f>CONCATENATE("11 11.2 4b")</f>
        <v>11 11.2 4b</v>
      </c>
      <c r="M2017" s="3" t="str">
        <f>CONCATENATE("PLVRTT60C64D749Y")</f>
        <v>PLVRTT60C64D749Y</v>
      </c>
      <c r="N2017" s="3" t="s">
        <v>2006</v>
      </c>
      <c r="O2017" s="3"/>
      <c r="P2017" s="4">
        <v>42783</v>
      </c>
      <c r="Q2017" s="3" t="s">
        <v>27</v>
      </c>
      <c r="R2017" s="3" t="s">
        <v>28</v>
      </c>
      <c r="S2017" s="3" t="s">
        <v>29</v>
      </c>
      <c r="T2017" s="5">
        <v>1204.1600000000001</v>
      </c>
      <c r="U2017" s="3">
        <v>519.23</v>
      </c>
      <c r="V2017" s="3">
        <v>479.5</v>
      </c>
      <c r="W2017" s="3">
        <v>205.43</v>
      </c>
    </row>
    <row r="2018" spans="1:23" ht="36.75">
      <c r="A2018" s="3" t="s">
        <v>23</v>
      </c>
      <c r="B2018" s="3" t="s">
        <v>24</v>
      </c>
      <c r="C2018" s="3" t="s">
        <v>35</v>
      </c>
      <c r="D2018" s="3" t="s">
        <v>43</v>
      </c>
      <c r="E2018" s="3" t="s">
        <v>33</v>
      </c>
      <c r="F2018" s="3" t="s">
        <v>122</v>
      </c>
      <c r="G2018" s="3">
        <v>2016</v>
      </c>
      <c r="H2018" s="3" t="str">
        <f>CONCATENATE("64240778312")</f>
        <v>64240778312</v>
      </c>
      <c r="I2018" s="3" t="s">
        <v>25</v>
      </c>
      <c r="J2018" s="3" t="s">
        <v>26</v>
      </c>
      <c r="K2018" s="3" t="str">
        <f t="shared" si="64"/>
        <v/>
      </c>
      <c r="L2018" s="3" t="str">
        <f>CONCATENATE("11 11.1 4b")</f>
        <v>11 11.1 4b</v>
      </c>
      <c r="M2018" s="3" t="str">
        <f>CONCATENATE("01388170415")</f>
        <v>01388170415</v>
      </c>
      <c r="N2018" s="3" t="s">
        <v>369</v>
      </c>
      <c r="O2018" s="3"/>
      <c r="P2018" s="4">
        <v>42783</v>
      </c>
      <c r="Q2018" s="3" t="s">
        <v>27</v>
      </c>
      <c r="R2018" s="3" t="s">
        <v>28</v>
      </c>
      <c r="S2018" s="3" t="s">
        <v>29</v>
      </c>
      <c r="T2018" s="5">
        <v>8901.68</v>
      </c>
      <c r="U2018" s="5">
        <v>3838.4</v>
      </c>
      <c r="V2018" s="5">
        <v>3544.65</v>
      </c>
      <c r="W2018" s="5">
        <v>1518.63</v>
      </c>
    </row>
    <row r="2019" spans="1:23" ht="60.75">
      <c r="A2019" s="3" t="s">
        <v>23</v>
      </c>
      <c r="B2019" s="3" t="s">
        <v>24</v>
      </c>
      <c r="C2019" s="3" t="s">
        <v>35</v>
      </c>
      <c r="D2019" s="3" t="s">
        <v>48</v>
      </c>
      <c r="E2019" s="3" t="s">
        <v>33</v>
      </c>
      <c r="F2019" s="3" t="s">
        <v>212</v>
      </c>
      <c r="G2019" s="3">
        <v>2016</v>
      </c>
      <c r="H2019" s="3" t="str">
        <f>CONCATENATE("64240771267")</f>
        <v>64240771267</v>
      </c>
      <c r="I2019" s="3" t="s">
        <v>31</v>
      </c>
      <c r="J2019" s="3" t="s">
        <v>26</v>
      </c>
      <c r="K2019" s="3" t="str">
        <f t="shared" si="64"/>
        <v/>
      </c>
      <c r="L2019" s="3" t="str">
        <f>CONCATENATE("11 11.1 4b")</f>
        <v>11 11.1 4b</v>
      </c>
      <c r="M2019" s="3" t="str">
        <f>CONCATENATE("BNDFNN37T28L366Q")</f>
        <v>BNDFNN37T28L366Q</v>
      </c>
      <c r="N2019" s="3" t="s">
        <v>2007</v>
      </c>
      <c r="O2019" s="3"/>
      <c r="P2019" s="4">
        <v>42783</v>
      </c>
      <c r="Q2019" s="3" t="s">
        <v>27</v>
      </c>
      <c r="R2019" s="3" t="s">
        <v>28</v>
      </c>
      <c r="S2019" s="3" t="s">
        <v>29</v>
      </c>
      <c r="T2019" s="5">
        <v>1165.9000000000001</v>
      </c>
      <c r="U2019" s="3">
        <v>502.74</v>
      </c>
      <c r="V2019" s="3">
        <v>464.26</v>
      </c>
      <c r="W2019" s="3">
        <v>198.9</v>
      </c>
    </row>
    <row r="2020" spans="1:23" ht="60.75">
      <c r="A2020" s="3" t="s">
        <v>23</v>
      </c>
      <c r="B2020" s="3" t="s">
        <v>24</v>
      </c>
      <c r="C2020" s="3" t="s">
        <v>35</v>
      </c>
      <c r="D2020" s="3" t="s">
        <v>36</v>
      </c>
      <c r="E2020" s="3" t="s">
        <v>42</v>
      </c>
      <c r="F2020" s="3" t="s">
        <v>42</v>
      </c>
      <c r="G2020" s="3">
        <v>2016</v>
      </c>
      <c r="H2020" s="3" t="str">
        <f>CONCATENATE("64240115804")</f>
        <v>64240115804</v>
      </c>
      <c r="I2020" s="3" t="s">
        <v>25</v>
      </c>
      <c r="J2020" s="3" t="s">
        <v>26</v>
      </c>
      <c r="K2020" s="3" t="str">
        <f t="shared" si="64"/>
        <v/>
      </c>
      <c r="L2020" s="3" t="str">
        <f t="shared" ref="L2020:L2025" si="65">CONCATENATE("11 11.2 4b")</f>
        <v>11 11.2 4b</v>
      </c>
      <c r="M2020" s="3" t="str">
        <f>CONCATENATE("BRBPLA61A43D096O")</f>
        <v>BRBPLA61A43D096O</v>
      </c>
      <c r="N2020" s="3" t="s">
        <v>2008</v>
      </c>
      <c r="O2020" s="3"/>
      <c r="P2020" s="4">
        <v>42783</v>
      </c>
      <c r="Q2020" s="3" t="s">
        <v>27</v>
      </c>
      <c r="R2020" s="3" t="s">
        <v>28</v>
      </c>
      <c r="S2020" s="3" t="s">
        <v>29</v>
      </c>
      <c r="T2020" s="5">
        <v>1632.41</v>
      </c>
      <c r="U2020" s="3">
        <v>703.9</v>
      </c>
      <c r="V2020" s="3">
        <v>650.03</v>
      </c>
      <c r="W2020" s="3">
        <v>278.48</v>
      </c>
    </row>
    <row r="2021" spans="1:23" ht="72.75">
      <c r="A2021" s="3" t="s">
        <v>23</v>
      </c>
      <c r="B2021" s="3" t="s">
        <v>24</v>
      </c>
      <c r="C2021" s="3" t="s">
        <v>35</v>
      </c>
      <c r="D2021" s="3" t="s">
        <v>36</v>
      </c>
      <c r="E2021" s="3" t="s">
        <v>32</v>
      </c>
      <c r="F2021" s="3" t="s">
        <v>208</v>
      </c>
      <c r="G2021" s="3">
        <v>2016</v>
      </c>
      <c r="H2021" s="3" t="str">
        <f>CONCATENATE("64240280889")</f>
        <v>64240280889</v>
      </c>
      <c r="I2021" s="3" t="s">
        <v>25</v>
      </c>
      <c r="J2021" s="3" t="s">
        <v>26</v>
      </c>
      <c r="K2021" s="3" t="str">
        <f t="shared" si="64"/>
        <v/>
      </c>
      <c r="L2021" s="3" t="str">
        <f t="shared" si="65"/>
        <v>11 11.2 4b</v>
      </c>
      <c r="M2021" s="3" t="str">
        <f>CONCATENATE("MDAGPP78T28H769B")</f>
        <v>MDAGPP78T28H769B</v>
      </c>
      <c r="N2021" s="3" t="s">
        <v>2009</v>
      </c>
      <c r="O2021" s="3"/>
      <c r="P2021" s="4">
        <v>42783</v>
      </c>
      <c r="Q2021" s="3" t="s">
        <v>27</v>
      </c>
      <c r="R2021" s="3" t="s">
        <v>28</v>
      </c>
      <c r="S2021" s="3" t="s">
        <v>29</v>
      </c>
      <c r="T2021" s="5">
        <v>2884.86</v>
      </c>
      <c r="U2021" s="5">
        <v>1243.95</v>
      </c>
      <c r="V2021" s="5">
        <v>1148.75</v>
      </c>
      <c r="W2021" s="3">
        <v>492.16</v>
      </c>
    </row>
    <row r="2022" spans="1:23" ht="72.75">
      <c r="A2022" s="3" t="s">
        <v>23</v>
      </c>
      <c r="B2022" s="3" t="s">
        <v>24</v>
      </c>
      <c r="C2022" s="3" t="s">
        <v>35</v>
      </c>
      <c r="D2022" s="3" t="s">
        <v>43</v>
      </c>
      <c r="E2022" s="3" t="s">
        <v>32</v>
      </c>
      <c r="F2022" s="3" t="s">
        <v>78</v>
      </c>
      <c r="G2022" s="3">
        <v>2016</v>
      </c>
      <c r="H2022" s="3" t="str">
        <f>CONCATENATE("64240322889")</f>
        <v>64240322889</v>
      </c>
      <c r="I2022" s="3" t="s">
        <v>25</v>
      </c>
      <c r="J2022" s="3" t="s">
        <v>26</v>
      </c>
      <c r="K2022" s="3" t="str">
        <f t="shared" si="64"/>
        <v/>
      </c>
      <c r="L2022" s="3" t="str">
        <f t="shared" si="65"/>
        <v>11 11.2 4b</v>
      </c>
      <c r="M2022" s="3" t="str">
        <f>CONCATENATE("CRDFRZ68M04G514Q")</f>
        <v>CRDFRZ68M04G514Q</v>
      </c>
      <c r="N2022" s="3" t="s">
        <v>2010</v>
      </c>
      <c r="O2022" s="3"/>
      <c r="P2022" s="4">
        <v>42783</v>
      </c>
      <c r="Q2022" s="3" t="s">
        <v>27</v>
      </c>
      <c r="R2022" s="3" t="s">
        <v>28</v>
      </c>
      <c r="S2022" s="3" t="s">
        <v>29</v>
      </c>
      <c r="T2022" s="5">
        <v>4495.46</v>
      </c>
      <c r="U2022" s="5">
        <v>1938.44</v>
      </c>
      <c r="V2022" s="5">
        <v>1790.09</v>
      </c>
      <c r="W2022" s="3">
        <v>766.93</v>
      </c>
    </row>
    <row r="2023" spans="1:23" ht="72.75">
      <c r="A2023" s="3" t="s">
        <v>23</v>
      </c>
      <c r="B2023" s="3" t="s">
        <v>24</v>
      </c>
      <c r="C2023" s="3" t="s">
        <v>35</v>
      </c>
      <c r="D2023" s="3" t="s">
        <v>43</v>
      </c>
      <c r="E2023" s="3" t="s">
        <v>32</v>
      </c>
      <c r="F2023" s="3" t="s">
        <v>575</v>
      </c>
      <c r="G2023" s="3">
        <v>2016</v>
      </c>
      <c r="H2023" s="3" t="str">
        <f>CONCATENATE("64240487625")</f>
        <v>64240487625</v>
      </c>
      <c r="I2023" s="3" t="s">
        <v>25</v>
      </c>
      <c r="J2023" s="3" t="s">
        <v>26</v>
      </c>
      <c r="K2023" s="3" t="str">
        <f t="shared" si="64"/>
        <v/>
      </c>
      <c r="L2023" s="3" t="str">
        <f t="shared" si="65"/>
        <v>11 11.2 4b</v>
      </c>
      <c r="M2023" s="3" t="str">
        <f>CONCATENATE("SLFGLN72A09D007R")</f>
        <v>SLFGLN72A09D007R</v>
      </c>
      <c r="N2023" s="3" t="s">
        <v>2011</v>
      </c>
      <c r="O2023" s="3"/>
      <c r="P2023" s="4">
        <v>42783</v>
      </c>
      <c r="Q2023" s="3" t="s">
        <v>27</v>
      </c>
      <c r="R2023" s="3" t="s">
        <v>28</v>
      </c>
      <c r="S2023" s="3" t="s">
        <v>29</v>
      </c>
      <c r="T2023" s="5">
        <v>4321.1899999999996</v>
      </c>
      <c r="U2023" s="5">
        <v>1863.3</v>
      </c>
      <c r="V2023" s="5">
        <v>1720.7</v>
      </c>
      <c r="W2023" s="3">
        <v>737.19</v>
      </c>
    </row>
    <row r="2024" spans="1:23" ht="60.75">
      <c r="A2024" s="3" t="s">
        <v>23</v>
      </c>
      <c r="B2024" s="3" t="s">
        <v>24</v>
      </c>
      <c r="C2024" s="3" t="s">
        <v>35</v>
      </c>
      <c r="D2024" s="3" t="s">
        <v>36</v>
      </c>
      <c r="E2024" s="3" t="s">
        <v>42</v>
      </c>
      <c r="F2024" s="3" t="s">
        <v>42</v>
      </c>
      <c r="G2024" s="3">
        <v>2016</v>
      </c>
      <c r="H2024" s="3" t="str">
        <f>CONCATENATE("64240094629")</f>
        <v>64240094629</v>
      </c>
      <c r="I2024" s="3" t="s">
        <v>25</v>
      </c>
      <c r="J2024" s="3" t="s">
        <v>26</v>
      </c>
      <c r="K2024" s="3" t="str">
        <f t="shared" si="64"/>
        <v/>
      </c>
      <c r="L2024" s="3" t="str">
        <f t="shared" si="65"/>
        <v>11 11.2 4b</v>
      </c>
      <c r="M2024" s="3" t="str">
        <f>CONCATENATE("MRCLGN67M31H321I")</f>
        <v>MRCLGN67M31H321I</v>
      </c>
      <c r="N2024" s="3" t="s">
        <v>2012</v>
      </c>
      <c r="O2024" s="3"/>
      <c r="P2024" s="4">
        <v>42783</v>
      </c>
      <c r="Q2024" s="3" t="s">
        <v>27</v>
      </c>
      <c r="R2024" s="3" t="s">
        <v>28</v>
      </c>
      <c r="S2024" s="3" t="s">
        <v>29</v>
      </c>
      <c r="T2024" s="5">
        <v>3353.26</v>
      </c>
      <c r="U2024" s="5">
        <v>1445.93</v>
      </c>
      <c r="V2024" s="5">
        <v>1335.27</v>
      </c>
      <c r="W2024" s="3">
        <v>572.05999999999995</v>
      </c>
    </row>
    <row r="2025" spans="1:23" ht="72.75">
      <c r="A2025" s="3" t="s">
        <v>23</v>
      </c>
      <c r="B2025" s="3" t="s">
        <v>24</v>
      </c>
      <c r="C2025" s="3" t="s">
        <v>35</v>
      </c>
      <c r="D2025" s="3" t="s">
        <v>43</v>
      </c>
      <c r="E2025" s="3" t="s">
        <v>30</v>
      </c>
      <c r="F2025" s="3" t="s">
        <v>199</v>
      </c>
      <c r="G2025" s="3">
        <v>2016</v>
      </c>
      <c r="H2025" s="3" t="str">
        <f>CONCATENATE("64240802906")</f>
        <v>64240802906</v>
      </c>
      <c r="I2025" s="3" t="s">
        <v>25</v>
      </c>
      <c r="J2025" s="3" t="s">
        <v>26</v>
      </c>
      <c r="K2025" s="3" t="str">
        <f t="shared" si="64"/>
        <v/>
      </c>
      <c r="L2025" s="3" t="str">
        <f t="shared" si="65"/>
        <v>11 11.2 4b</v>
      </c>
      <c r="M2025" s="3" t="str">
        <f>CONCATENATE("CRBSMN73H62G479G")</f>
        <v>CRBSMN73H62G479G</v>
      </c>
      <c r="N2025" s="3" t="s">
        <v>2013</v>
      </c>
      <c r="O2025" s="3"/>
      <c r="P2025" s="4">
        <v>42783</v>
      </c>
      <c r="Q2025" s="3" t="s">
        <v>27</v>
      </c>
      <c r="R2025" s="3" t="s">
        <v>28</v>
      </c>
      <c r="S2025" s="3" t="s">
        <v>29</v>
      </c>
      <c r="T2025" s="5">
        <v>6170.31</v>
      </c>
      <c r="U2025" s="5">
        <v>2660.64</v>
      </c>
      <c r="V2025" s="5">
        <v>2457.02</v>
      </c>
      <c r="W2025" s="5">
        <v>1052.6500000000001</v>
      </c>
    </row>
    <row r="2026" spans="1:23" ht="60.75">
      <c r="A2026" s="3" t="s">
        <v>23</v>
      </c>
      <c r="B2026" s="3" t="s">
        <v>24</v>
      </c>
      <c r="C2026" s="3" t="s">
        <v>35</v>
      </c>
      <c r="D2026" s="3" t="s">
        <v>48</v>
      </c>
      <c r="E2026" s="3" t="s">
        <v>32</v>
      </c>
      <c r="F2026" s="3" t="s">
        <v>129</v>
      </c>
      <c r="G2026" s="3">
        <v>2016</v>
      </c>
      <c r="H2026" s="3" t="str">
        <f>CONCATENATE("64240257747")</f>
        <v>64240257747</v>
      </c>
      <c r="I2026" s="3" t="s">
        <v>25</v>
      </c>
      <c r="J2026" s="3" t="s">
        <v>26</v>
      </c>
      <c r="K2026" s="3" t="str">
        <f t="shared" si="64"/>
        <v/>
      </c>
      <c r="L2026" s="3" t="str">
        <f>CONCATENATE("11 11.1 4b")</f>
        <v>11 11.1 4b</v>
      </c>
      <c r="M2026" s="3" t="str">
        <f>CONCATENATE("MRZDIA36C69D042I")</f>
        <v>MRZDIA36C69D042I</v>
      </c>
      <c r="N2026" s="3" t="s">
        <v>2014</v>
      </c>
      <c r="O2026" s="3"/>
      <c r="P2026" s="4">
        <v>42783</v>
      </c>
      <c r="Q2026" s="3" t="s">
        <v>27</v>
      </c>
      <c r="R2026" s="3" t="s">
        <v>28</v>
      </c>
      <c r="S2026" s="3" t="s">
        <v>29</v>
      </c>
      <c r="T2026" s="3">
        <v>955.81</v>
      </c>
      <c r="U2026" s="3">
        <v>412.15</v>
      </c>
      <c r="V2026" s="3">
        <v>380.6</v>
      </c>
      <c r="W2026" s="3">
        <v>163.06</v>
      </c>
    </row>
    <row r="2027" spans="1:23" ht="60.75">
      <c r="A2027" s="3" t="s">
        <v>23</v>
      </c>
      <c r="B2027" s="3" t="s">
        <v>24</v>
      </c>
      <c r="C2027" s="3" t="s">
        <v>35</v>
      </c>
      <c r="D2027" s="3" t="s">
        <v>48</v>
      </c>
      <c r="E2027" s="3" t="s">
        <v>33</v>
      </c>
      <c r="F2027" s="3" t="s">
        <v>358</v>
      </c>
      <c r="G2027" s="3">
        <v>2016</v>
      </c>
      <c r="H2027" s="3" t="str">
        <f>CONCATENATE("64240548780")</f>
        <v>64240548780</v>
      </c>
      <c r="I2027" s="3" t="s">
        <v>31</v>
      </c>
      <c r="J2027" s="3" t="s">
        <v>26</v>
      </c>
      <c r="K2027" s="3" t="str">
        <f t="shared" si="64"/>
        <v/>
      </c>
      <c r="L2027" s="3" t="str">
        <f>CONCATENATE("11 11.2 4b")</f>
        <v>11 11.2 4b</v>
      </c>
      <c r="M2027" s="3" t="str">
        <f>CONCATENATE("RZOLRA41P15L366Z")</f>
        <v>RZOLRA41P15L366Z</v>
      </c>
      <c r="N2027" s="3" t="s">
        <v>2015</v>
      </c>
      <c r="O2027" s="3"/>
      <c r="P2027" s="4">
        <v>42783</v>
      </c>
      <c r="Q2027" s="3" t="s">
        <v>27</v>
      </c>
      <c r="R2027" s="3" t="s">
        <v>28</v>
      </c>
      <c r="S2027" s="3" t="s">
        <v>29</v>
      </c>
      <c r="T2027" s="5">
        <v>1707.44</v>
      </c>
      <c r="U2027" s="3">
        <v>736.25</v>
      </c>
      <c r="V2027" s="3">
        <v>679.9</v>
      </c>
      <c r="W2027" s="3">
        <v>291.29000000000002</v>
      </c>
    </row>
    <row r="2028" spans="1:23" ht="72.75">
      <c r="A2028" s="3" t="s">
        <v>23</v>
      </c>
      <c r="B2028" s="3" t="s">
        <v>24</v>
      </c>
      <c r="C2028" s="3" t="s">
        <v>35</v>
      </c>
      <c r="D2028" s="3" t="s">
        <v>36</v>
      </c>
      <c r="E2028" s="3" t="s">
        <v>30</v>
      </c>
      <c r="F2028" s="3" t="s">
        <v>37</v>
      </c>
      <c r="G2028" s="3">
        <v>2016</v>
      </c>
      <c r="H2028" s="3" t="str">
        <f>CONCATENATE("64240488797")</f>
        <v>64240488797</v>
      </c>
      <c r="I2028" s="3" t="s">
        <v>25</v>
      </c>
      <c r="J2028" s="3" t="s">
        <v>26</v>
      </c>
      <c r="K2028" s="3" t="str">
        <f t="shared" si="64"/>
        <v/>
      </c>
      <c r="L2028" s="3" t="str">
        <f>CONCATENATE("10 10.1 4b")</f>
        <v>10 10.1 4b</v>
      </c>
      <c r="M2028" s="3" t="str">
        <f>CONCATENATE("MZZMRZ65M08G516V")</f>
        <v>MZZMRZ65M08G516V</v>
      </c>
      <c r="N2028" s="3" t="s">
        <v>2016</v>
      </c>
      <c r="O2028" s="3"/>
      <c r="P2028" s="4">
        <v>42783</v>
      </c>
      <c r="Q2028" s="3" t="s">
        <v>27</v>
      </c>
      <c r="R2028" s="3" t="s">
        <v>28</v>
      </c>
      <c r="S2028" s="3" t="s">
        <v>29</v>
      </c>
      <c r="T2028" s="5">
        <v>1167.6400000000001</v>
      </c>
      <c r="U2028" s="3">
        <v>503.49</v>
      </c>
      <c r="V2028" s="3">
        <v>464.95</v>
      </c>
      <c r="W2028" s="3">
        <v>199.2</v>
      </c>
    </row>
    <row r="2029" spans="1:23" ht="60.75">
      <c r="A2029" s="3" t="s">
        <v>23</v>
      </c>
      <c r="B2029" s="3" t="s">
        <v>24</v>
      </c>
      <c r="C2029" s="3" t="s">
        <v>35</v>
      </c>
      <c r="D2029" s="3" t="s">
        <v>39</v>
      </c>
      <c r="E2029" s="3" t="s">
        <v>34</v>
      </c>
      <c r="F2029" s="3" t="s">
        <v>170</v>
      </c>
      <c r="G2029" s="3">
        <v>2016</v>
      </c>
      <c r="H2029" s="3" t="str">
        <f>CONCATENATE("64240713863")</f>
        <v>64240713863</v>
      </c>
      <c r="I2029" s="3" t="s">
        <v>25</v>
      </c>
      <c r="J2029" s="3" t="s">
        <v>26</v>
      </c>
      <c r="K2029" s="3" t="str">
        <f t="shared" si="64"/>
        <v/>
      </c>
      <c r="L2029" s="3" t="str">
        <f>CONCATENATE("11 11.2 4b")</f>
        <v>11 11.2 4b</v>
      </c>
      <c r="M2029" s="3" t="str">
        <f>CONCATENATE("CNNLRT69H11A271A")</f>
        <v>CNNLRT69H11A271A</v>
      </c>
      <c r="N2029" s="3" t="s">
        <v>2017</v>
      </c>
      <c r="O2029" s="3"/>
      <c r="P2029" s="4">
        <v>42783</v>
      </c>
      <c r="Q2029" s="3" t="s">
        <v>27</v>
      </c>
      <c r="R2029" s="3" t="s">
        <v>28</v>
      </c>
      <c r="S2029" s="3" t="s">
        <v>29</v>
      </c>
      <c r="T2029" s="3">
        <v>323.61</v>
      </c>
      <c r="U2029" s="3">
        <v>139.54</v>
      </c>
      <c r="V2029" s="3">
        <v>128.86000000000001</v>
      </c>
      <c r="W2029" s="3">
        <v>55.21</v>
      </c>
    </row>
    <row r="2030" spans="1:23" ht="60.75">
      <c r="A2030" s="3" t="s">
        <v>23</v>
      </c>
      <c r="B2030" s="3" t="s">
        <v>24</v>
      </c>
      <c r="C2030" s="3" t="s">
        <v>35</v>
      </c>
      <c r="D2030" s="3" t="s">
        <v>36</v>
      </c>
      <c r="E2030" s="3" t="s">
        <v>34</v>
      </c>
      <c r="F2030" s="3" t="s">
        <v>273</v>
      </c>
      <c r="G2030" s="3">
        <v>2016</v>
      </c>
      <c r="H2030" s="3" t="str">
        <f>CONCATENATE("64240635249")</f>
        <v>64240635249</v>
      </c>
      <c r="I2030" s="3" t="s">
        <v>25</v>
      </c>
      <c r="J2030" s="3" t="s">
        <v>26</v>
      </c>
      <c r="K2030" s="3" t="str">
        <f t="shared" si="64"/>
        <v/>
      </c>
      <c r="L2030" s="3" t="str">
        <f>CONCATENATE("11 11.1 4b")</f>
        <v>11 11.1 4b</v>
      </c>
      <c r="M2030" s="3" t="str">
        <f>CONCATENATE("LLGLRD93E17D542Y")</f>
        <v>LLGLRD93E17D542Y</v>
      </c>
      <c r="N2030" s="3" t="s">
        <v>2018</v>
      </c>
      <c r="O2030" s="3"/>
      <c r="P2030" s="4">
        <v>42783</v>
      </c>
      <c r="Q2030" s="3" t="s">
        <v>27</v>
      </c>
      <c r="R2030" s="3" t="s">
        <v>28</v>
      </c>
      <c r="S2030" s="3" t="s">
        <v>29</v>
      </c>
      <c r="T2030" s="5">
        <v>1052.78</v>
      </c>
      <c r="U2030" s="3">
        <v>453.96</v>
      </c>
      <c r="V2030" s="3">
        <v>419.22</v>
      </c>
      <c r="W2030" s="3">
        <v>179.6</v>
      </c>
    </row>
    <row r="2031" spans="1:23" ht="60.75">
      <c r="A2031" s="3" t="s">
        <v>23</v>
      </c>
      <c r="B2031" s="3" t="s">
        <v>24</v>
      </c>
      <c r="C2031" s="3" t="s">
        <v>35</v>
      </c>
      <c r="D2031" s="3" t="s">
        <v>36</v>
      </c>
      <c r="E2031" s="3" t="s">
        <v>42</v>
      </c>
      <c r="F2031" s="3" t="s">
        <v>42</v>
      </c>
      <c r="G2031" s="3">
        <v>2016</v>
      </c>
      <c r="H2031" s="3" t="str">
        <f>CONCATENATE("64240604310")</f>
        <v>64240604310</v>
      </c>
      <c r="I2031" s="3" t="s">
        <v>25</v>
      </c>
      <c r="J2031" s="3" t="s">
        <v>26</v>
      </c>
      <c r="K2031" s="3" t="str">
        <f t="shared" si="64"/>
        <v/>
      </c>
      <c r="L2031" s="3" t="str">
        <f>CONCATENATE("11 11.1 4b")</f>
        <v>11 11.1 4b</v>
      </c>
      <c r="M2031" s="3" t="str">
        <f>CONCATENATE("DRSFNC81A05H769S")</f>
        <v>DRSFNC81A05H769S</v>
      </c>
      <c r="N2031" s="3" t="s">
        <v>2019</v>
      </c>
      <c r="O2031" s="3"/>
      <c r="P2031" s="4">
        <v>42783</v>
      </c>
      <c r="Q2031" s="3" t="s">
        <v>27</v>
      </c>
      <c r="R2031" s="3" t="s">
        <v>28</v>
      </c>
      <c r="S2031" s="3" t="s">
        <v>29</v>
      </c>
      <c r="T2031" s="5">
        <v>3618.04</v>
      </c>
      <c r="U2031" s="5">
        <v>1560.1</v>
      </c>
      <c r="V2031" s="5">
        <v>1440.7</v>
      </c>
      <c r="W2031" s="3">
        <v>617.24</v>
      </c>
    </row>
    <row r="2032" spans="1:23" ht="60.75">
      <c r="A2032" s="3" t="s">
        <v>23</v>
      </c>
      <c r="B2032" s="3" t="s">
        <v>24</v>
      </c>
      <c r="C2032" s="3" t="s">
        <v>35</v>
      </c>
      <c r="D2032" s="3" t="s">
        <v>48</v>
      </c>
      <c r="E2032" s="3" t="s">
        <v>30</v>
      </c>
      <c r="F2032" s="3" t="s">
        <v>157</v>
      </c>
      <c r="G2032" s="3">
        <v>2016</v>
      </c>
      <c r="H2032" s="3" t="str">
        <f>CONCATENATE("64240834586")</f>
        <v>64240834586</v>
      </c>
      <c r="I2032" s="3" t="s">
        <v>25</v>
      </c>
      <c r="J2032" s="3" t="s">
        <v>26</v>
      </c>
      <c r="K2032" s="3" t="str">
        <f t="shared" si="64"/>
        <v/>
      </c>
      <c r="L2032" s="3" t="str">
        <f>CONCATENATE("11 11.1 4b")</f>
        <v>11 11.1 4b</v>
      </c>
      <c r="M2032" s="3" t="str">
        <f>CONCATENATE("MCNRFL31S01E228B")</f>
        <v>MCNRFL31S01E228B</v>
      </c>
      <c r="N2032" s="3" t="s">
        <v>2020</v>
      </c>
      <c r="O2032" s="3"/>
      <c r="P2032" s="4">
        <v>42783</v>
      </c>
      <c r="Q2032" s="3" t="s">
        <v>27</v>
      </c>
      <c r="R2032" s="3" t="s">
        <v>28</v>
      </c>
      <c r="S2032" s="3" t="s">
        <v>29</v>
      </c>
      <c r="T2032" s="5">
        <v>1742.83</v>
      </c>
      <c r="U2032" s="3">
        <v>751.51</v>
      </c>
      <c r="V2032" s="3">
        <v>693.99</v>
      </c>
      <c r="W2032" s="3">
        <v>297.33</v>
      </c>
    </row>
    <row r="2033" spans="1:23" ht="60.75">
      <c r="A2033" s="3" t="s">
        <v>23</v>
      </c>
      <c r="B2033" s="3" t="s">
        <v>24</v>
      </c>
      <c r="C2033" s="3" t="s">
        <v>35</v>
      </c>
      <c r="D2033" s="3" t="s">
        <v>36</v>
      </c>
      <c r="E2033" s="3" t="s">
        <v>30</v>
      </c>
      <c r="F2033" s="3" t="s">
        <v>37</v>
      </c>
      <c r="G2033" s="3">
        <v>2016</v>
      </c>
      <c r="H2033" s="3" t="str">
        <f>CONCATENATE("64240414397")</f>
        <v>64240414397</v>
      </c>
      <c r="I2033" s="3" t="s">
        <v>25</v>
      </c>
      <c r="J2033" s="3" t="s">
        <v>26</v>
      </c>
      <c r="K2033" s="3" t="str">
        <f t="shared" si="64"/>
        <v/>
      </c>
      <c r="L2033" s="3" t="str">
        <f>CONCATENATE("10 10.1 4b")</f>
        <v>10 10.1 4b</v>
      </c>
      <c r="M2033" s="3" t="str">
        <f>CONCATENATE("STPMRA61M23F415V")</f>
        <v>STPMRA61M23F415V</v>
      </c>
      <c r="N2033" s="3" t="s">
        <v>2021</v>
      </c>
      <c r="O2033" s="3"/>
      <c r="P2033" s="4">
        <v>42783</v>
      </c>
      <c r="Q2033" s="3" t="s">
        <v>27</v>
      </c>
      <c r="R2033" s="3" t="s">
        <v>28</v>
      </c>
      <c r="S2033" s="3" t="s">
        <v>29</v>
      </c>
      <c r="T2033" s="5">
        <v>4394.3</v>
      </c>
      <c r="U2033" s="5">
        <v>1894.82</v>
      </c>
      <c r="V2033" s="5">
        <v>1749.81</v>
      </c>
      <c r="W2033" s="3">
        <v>749.67</v>
      </c>
    </row>
    <row r="2034" spans="1:23" ht="36.75">
      <c r="A2034" s="3" t="s">
        <v>23</v>
      </c>
      <c r="B2034" s="3" t="s">
        <v>24</v>
      </c>
      <c r="C2034" s="3" t="s">
        <v>35</v>
      </c>
      <c r="D2034" s="3" t="s">
        <v>36</v>
      </c>
      <c r="E2034" s="3" t="s">
        <v>59</v>
      </c>
      <c r="F2034" s="3" t="s">
        <v>62</v>
      </c>
      <c r="G2034" s="3">
        <v>2016</v>
      </c>
      <c r="H2034" s="3" t="str">
        <f>CONCATENATE("64240761045")</f>
        <v>64240761045</v>
      </c>
      <c r="I2034" s="3" t="s">
        <v>25</v>
      </c>
      <c r="J2034" s="3" t="s">
        <v>26</v>
      </c>
      <c r="K2034" s="3" t="str">
        <f t="shared" si="64"/>
        <v/>
      </c>
      <c r="L2034" s="3" t="str">
        <f>CONCATENATE("11 11.1 4b")</f>
        <v>11 11.1 4b</v>
      </c>
      <c r="M2034" s="3" t="str">
        <f>CONCATENATE("02274800446")</f>
        <v>02274800446</v>
      </c>
      <c r="N2034" s="3" t="s">
        <v>652</v>
      </c>
      <c r="O2034" s="3"/>
      <c r="P2034" s="4">
        <v>42783</v>
      </c>
      <c r="Q2034" s="3" t="s">
        <v>27</v>
      </c>
      <c r="R2034" s="3" t="s">
        <v>28</v>
      </c>
      <c r="S2034" s="3" t="s">
        <v>29</v>
      </c>
      <c r="T2034" s="5">
        <v>3475.49</v>
      </c>
      <c r="U2034" s="5">
        <v>1498.63</v>
      </c>
      <c r="V2034" s="5">
        <v>1383.94</v>
      </c>
      <c r="W2034" s="3">
        <v>592.91999999999996</v>
      </c>
    </row>
    <row r="2035" spans="1:23" ht="60.75">
      <c r="A2035" s="3" t="s">
        <v>23</v>
      </c>
      <c r="B2035" s="3" t="s">
        <v>24</v>
      </c>
      <c r="C2035" s="3" t="s">
        <v>35</v>
      </c>
      <c r="D2035" s="3" t="s">
        <v>43</v>
      </c>
      <c r="E2035" s="3" t="s">
        <v>30</v>
      </c>
      <c r="F2035" s="3" t="s">
        <v>131</v>
      </c>
      <c r="G2035" s="3">
        <v>2016</v>
      </c>
      <c r="H2035" s="3" t="str">
        <f>CONCATENATE("64240538401")</f>
        <v>64240538401</v>
      </c>
      <c r="I2035" s="3" t="s">
        <v>25</v>
      </c>
      <c r="J2035" s="3" t="s">
        <v>26</v>
      </c>
      <c r="K2035" s="3" t="str">
        <f t="shared" si="64"/>
        <v/>
      </c>
      <c r="L2035" s="3" t="str">
        <f>CONCATENATE("11 11.1 4b")</f>
        <v>11 11.1 4b</v>
      </c>
      <c r="M2035" s="3" t="str">
        <f>CONCATENATE("BCCMCL88C28D488X")</f>
        <v>BCCMCL88C28D488X</v>
      </c>
      <c r="N2035" s="3" t="s">
        <v>2022</v>
      </c>
      <c r="O2035" s="3"/>
      <c r="P2035" s="4">
        <v>42783</v>
      </c>
      <c r="Q2035" s="3" t="s">
        <v>27</v>
      </c>
      <c r="R2035" s="3" t="s">
        <v>28</v>
      </c>
      <c r="S2035" s="3" t="s">
        <v>29</v>
      </c>
      <c r="T2035" s="5">
        <v>7620.07</v>
      </c>
      <c r="U2035" s="5">
        <v>3285.77</v>
      </c>
      <c r="V2035" s="5">
        <v>3034.31</v>
      </c>
      <c r="W2035" s="5">
        <v>1299.99</v>
      </c>
    </row>
    <row r="2036" spans="1:23" ht="60.75">
      <c r="A2036" s="3" t="s">
        <v>23</v>
      </c>
      <c r="B2036" s="3" t="s">
        <v>24</v>
      </c>
      <c r="C2036" s="3" t="s">
        <v>35</v>
      </c>
      <c r="D2036" s="3" t="s">
        <v>36</v>
      </c>
      <c r="E2036" s="3" t="s">
        <v>30</v>
      </c>
      <c r="F2036" s="3" t="s">
        <v>86</v>
      </c>
      <c r="G2036" s="3">
        <v>2016</v>
      </c>
      <c r="H2036" s="3" t="str">
        <f>CONCATENATE("64210553679")</f>
        <v>64210553679</v>
      </c>
      <c r="I2036" s="3" t="s">
        <v>25</v>
      </c>
      <c r="J2036" s="3" t="s">
        <v>26</v>
      </c>
      <c r="K2036" s="3" t="str">
        <f t="shared" si="64"/>
        <v/>
      </c>
      <c r="L2036" s="3" t="str">
        <f>CONCATENATE("13 13.1 4a")</f>
        <v>13 13.1 4a</v>
      </c>
      <c r="M2036" s="3" t="str">
        <f>CONCATENATE("CCCCRL61S24H390S")</f>
        <v>CCCCRL61S24H390S</v>
      </c>
      <c r="N2036" s="3" t="s">
        <v>2023</v>
      </c>
      <c r="O2036" s="3"/>
      <c r="P2036" s="4">
        <v>42783</v>
      </c>
      <c r="Q2036" s="3" t="s">
        <v>27</v>
      </c>
      <c r="R2036" s="3" t="s">
        <v>28</v>
      </c>
      <c r="S2036" s="3" t="s">
        <v>29</v>
      </c>
      <c r="T2036" s="3">
        <v>591.29999999999995</v>
      </c>
      <c r="U2036" s="3">
        <v>254.97</v>
      </c>
      <c r="V2036" s="3">
        <v>235.46</v>
      </c>
      <c r="W2036" s="3">
        <v>100.87</v>
      </c>
    </row>
    <row r="2037" spans="1:23" ht="36.75">
      <c r="A2037" s="3" t="s">
        <v>23</v>
      </c>
      <c r="B2037" s="3" t="s">
        <v>24</v>
      </c>
      <c r="C2037" s="3" t="s">
        <v>35</v>
      </c>
      <c r="D2037" s="3" t="s">
        <v>43</v>
      </c>
      <c r="E2037" s="3" t="s">
        <v>30</v>
      </c>
      <c r="F2037" s="3" t="s">
        <v>76</v>
      </c>
      <c r="G2037" s="3">
        <v>2016</v>
      </c>
      <c r="H2037" s="3" t="str">
        <f>CONCATENATE("64240642021")</f>
        <v>64240642021</v>
      </c>
      <c r="I2037" s="3" t="s">
        <v>25</v>
      </c>
      <c r="J2037" s="3" t="s">
        <v>26</v>
      </c>
      <c r="K2037" s="3" t="str">
        <f t="shared" si="64"/>
        <v/>
      </c>
      <c r="L2037" s="3" t="str">
        <f>CONCATENATE("11 11.2 4b")</f>
        <v>11 11.2 4b</v>
      </c>
      <c r="M2037" s="3" t="str">
        <f>CONCATENATE("01407300415")</f>
        <v>01407300415</v>
      </c>
      <c r="N2037" s="3" t="s">
        <v>1107</v>
      </c>
      <c r="O2037" s="3"/>
      <c r="P2037" s="4">
        <v>42783</v>
      </c>
      <c r="Q2037" s="3" t="s">
        <v>27</v>
      </c>
      <c r="R2037" s="3" t="s">
        <v>28</v>
      </c>
      <c r="S2037" s="3" t="s">
        <v>29</v>
      </c>
      <c r="T2037" s="5">
        <v>18074.14</v>
      </c>
      <c r="U2037" s="5">
        <v>7793.57</v>
      </c>
      <c r="V2037" s="5">
        <v>7197.12</v>
      </c>
      <c r="W2037" s="5">
        <v>3083.45</v>
      </c>
    </row>
    <row r="2038" spans="1:23" ht="60.75">
      <c r="A2038" s="3" t="s">
        <v>23</v>
      </c>
      <c r="B2038" s="3" t="s">
        <v>24</v>
      </c>
      <c r="C2038" s="3" t="s">
        <v>35</v>
      </c>
      <c r="D2038" s="3" t="s">
        <v>39</v>
      </c>
      <c r="E2038" s="3" t="s">
        <v>30</v>
      </c>
      <c r="F2038" s="3" t="s">
        <v>97</v>
      </c>
      <c r="G2038" s="3">
        <v>2016</v>
      </c>
      <c r="H2038" s="3" t="str">
        <f>CONCATENATE("64240921763")</f>
        <v>64240921763</v>
      </c>
      <c r="I2038" s="3" t="s">
        <v>25</v>
      </c>
      <c r="J2038" s="3" t="s">
        <v>26</v>
      </c>
      <c r="K2038" s="3" t="str">
        <f t="shared" si="64"/>
        <v/>
      </c>
      <c r="L2038" s="3" t="str">
        <f>CONCATENATE("11 11.1 4b")</f>
        <v>11 11.1 4b</v>
      </c>
      <c r="M2038" s="3" t="str">
        <f>CONCATENATE("GRDMLT88S50A271B")</f>
        <v>GRDMLT88S50A271B</v>
      </c>
      <c r="N2038" s="3" t="s">
        <v>2024</v>
      </c>
      <c r="O2038" s="3"/>
      <c r="P2038" s="4">
        <v>42783</v>
      </c>
      <c r="Q2038" s="3" t="s">
        <v>27</v>
      </c>
      <c r="R2038" s="3" t="s">
        <v>28</v>
      </c>
      <c r="S2038" s="3" t="s">
        <v>29</v>
      </c>
      <c r="T2038" s="5">
        <v>2762.17</v>
      </c>
      <c r="U2038" s="5">
        <v>1191.05</v>
      </c>
      <c r="V2038" s="5">
        <v>1099.9000000000001</v>
      </c>
      <c r="W2038" s="3">
        <v>471.22</v>
      </c>
    </row>
    <row r="2039" spans="1:23" ht="36.75">
      <c r="A2039" s="3" t="s">
        <v>23</v>
      </c>
      <c r="B2039" s="3" t="s">
        <v>24</v>
      </c>
      <c r="C2039" s="3" t="s">
        <v>35</v>
      </c>
      <c r="D2039" s="3" t="s">
        <v>36</v>
      </c>
      <c r="E2039" s="3" t="s">
        <v>59</v>
      </c>
      <c r="F2039" s="3" t="s">
        <v>62</v>
      </c>
      <c r="G2039" s="3">
        <v>2016</v>
      </c>
      <c r="H2039" s="3" t="str">
        <f>CONCATENATE("64240921185")</f>
        <v>64240921185</v>
      </c>
      <c r="I2039" s="3" t="s">
        <v>25</v>
      </c>
      <c r="J2039" s="3" t="s">
        <v>26</v>
      </c>
      <c r="K2039" s="3" t="str">
        <f t="shared" si="64"/>
        <v/>
      </c>
      <c r="L2039" s="3" t="str">
        <f>CONCATENATE("11 11.2 4b")</f>
        <v>11 11.2 4b</v>
      </c>
      <c r="M2039" s="3" t="str">
        <f>CONCATENATE("01814170443")</f>
        <v>01814170443</v>
      </c>
      <c r="N2039" s="3" t="s">
        <v>2025</v>
      </c>
      <c r="O2039" s="3"/>
      <c r="P2039" s="4">
        <v>42783</v>
      </c>
      <c r="Q2039" s="3" t="s">
        <v>27</v>
      </c>
      <c r="R2039" s="3" t="s">
        <v>28</v>
      </c>
      <c r="S2039" s="3" t="s">
        <v>29</v>
      </c>
      <c r="T2039" s="5">
        <v>88563.11</v>
      </c>
      <c r="U2039" s="5">
        <v>38188.410000000003</v>
      </c>
      <c r="V2039" s="5">
        <v>35265.83</v>
      </c>
      <c r="W2039" s="5">
        <v>15108.87</v>
      </c>
    </row>
    <row r="2040" spans="1:23" ht="36.75">
      <c r="A2040" s="3" t="s">
        <v>23</v>
      </c>
      <c r="B2040" s="3" t="s">
        <v>24</v>
      </c>
      <c r="C2040" s="3" t="s">
        <v>35</v>
      </c>
      <c r="D2040" s="3" t="s">
        <v>36</v>
      </c>
      <c r="E2040" s="3" t="s">
        <v>42</v>
      </c>
      <c r="F2040" s="3" t="s">
        <v>42</v>
      </c>
      <c r="G2040" s="3">
        <v>2016</v>
      </c>
      <c r="H2040" s="3" t="str">
        <f>CONCATENATE("64240284949")</f>
        <v>64240284949</v>
      </c>
      <c r="I2040" s="3" t="s">
        <v>25</v>
      </c>
      <c r="J2040" s="3" t="s">
        <v>26</v>
      </c>
      <c r="K2040" s="3" t="str">
        <f t="shared" si="64"/>
        <v/>
      </c>
      <c r="L2040" s="3" t="str">
        <f>CONCATENATE("11 11.2 4b")</f>
        <v>11 11.2 4b</v>
      </c>
      <c r="M2040" s="3" t="str">
        <f>CONCATENATE("01496660448")</f>
        <v>01496660448</v>
      </c>
      <c r="N2040" s="3" t="s">
        <v>2026</v>
      </c>
      <c r="O2040" s="3"/>
      <c r="P2040" s="4">
        <v>42783</v>
      </c>
      <c r="Q2040" s="3" t="s">
        <v>27</v>
      </c>
      <c r="R2040" s="3" t="s">
        <v>28</v>
      </c>
      <c r="S2040" s="3" t="s">
        <v>29</v>
      </c>
      <c r="T2040" s="5">
        <v>14334.04</v>
      </c>
      <c r="U2040" s="5">
        <v>6180.84</v>
      </c>
      <c r="V2040" s="5">
        <v>5707.81</v>
      </c>
      <c r="W2040" s="5">
        <v>2445.39</v>
      </c>
    </row>
    <row r="2041" spans="1:23" ht="36.75">
      <c r="A2041" s="3" t="s">
        <v>23</v>
      </c>
      <c r="B2041" s="3" t="s">
        <v>24</v>
      </c>
      <c r="C2041" s="3" t="s">
        <v>35</v>
      </c>
      <c r="D2041" s="3" t="s">
        <v>48</v>
      </c>
      <c r="E2041" s="3" t="s">
        <v>30</v>
      </c>
      <c r="F2041" s="3" t="s">
        <v>91</v>
      </c>
      <c r="G2041" s="3">
        <v>2016</v>
      </c>
      <c r="H2041" s="3" t="str">
        <f>CONCATENATE("64240317061")</f>
        <v>64240317061</v>
      </c>
      <c r="I2041" s="3" t="s">
        <v>25</v>
      </c>
      <c r="J2041" s="3" t="s">
        <v>26</v>
      </c>
      <c r="K2041" s="3" t="str">
        <f t="shared" si="64"/>
        <v/>
      </c>
      <c r="L2041" s="3" t="str">
        <f>CONCATENATE("11 11.2 4b")</f>
        <v>11 11.2 4b</v>
      </c>
      <c r="M2041" s="3" t="str">
        <f>CONCATENATE("01697690434")</f>
        <v>01697690434</v>
      </c>
      <c r="N2041" s="3" t="s">
        <v>2027</v>
      </c>
      <c r="O2041" s="3"/>
      <c r="P2041" s="4">
        <v>42783</v>
      </c>
      <c r="Q2041" s="3" t="s">
        <v>27</v>
      </c>
      <c r="R2041" s="3" t="s">
        <v>28</v>
      </c>
      <c r="S2041" s="3" t="s">
        <v>29</v>
      </c>
      <c r="T2041" s="5">
        <v>1492.73</v>
      </c>
      <c r="U2041" s="3">
        <v>643.66999999999996</v>
      </c>
      <c r="V2041" s="3">
        <v>594.41</v>
      </c>
      <c r="W2041" s="3">
        <v>254.65</v>
      </c>
    </row>
    <row r="2042" spans="1:23" ht="60.75">
      <c r="A2042" s="3" t="s">
        <v>23</v>
      </c>
      <c r="B2042" s="3" t="s">
        <v>24</v>
      </c>
      <c r="C2042" s="3" t="s">
        <v>35</v>
      </c>
      <c r="D2042" s="3" t="s">
        <v>36</v>
      </c>
      <c r="E2042" s="3" t="s">
        <v>30</v>
      </c>
      <c r="F2042" s="3" t="s">
        <v>86</v>
      </c>
      <c r="G2042" s="3">
        <v>2016</v>
      </c>
      <c r="H2042" s="3" t="str">
        <f>CONCATENATE("64210810947")</f>
        <v>64210810947</v>
      </c>
      <c r="I2042" s="3" t="s">
        <v>25</v>
      </c>
      <c r="J2042" s="3" t="s">
        <v>26</v>
      </c>
      <c r="K2042" s="3" t="str">
        <f t="shared" si="64"/>
        <v/>
      </c>
      <c r="L2042" s="3" t="str">
        <f>CONCATENATE("13 13.1 4a")</f>
        <v>13 13.1 4a</v>
      </c>
      <c r="M2042" s="3" t="str">
        <f>CONCATENATE("NZZLVI54T55A044E")</f>
        <v>NZZLVI54T55A044E</v>
      </c>
      <c r="N2042" s="3" t="s">
        <v>2028</v>
      </c>
      <c r="O2042" s="3"/>
      <c r="P2042" s="4">
        <v>42783</v>
      </c>
      <c r="Q2042" s="3" t="s">
        <v>27</v>
      </c>
      <c r="R2042" s="3" t="s">
        <v>28</v>
      </c>
      <c r="S2042" s="3" t="s">
        <v>29</v>
      </c>
      <c r="T2042" s="5">
        <v>1631.14</v>
      </c>
      <c r="U2042" s="3">
        <v>703.35</v>
      </c>
      <c r="V2042" s="3">
        <v>649.52</v>
      </c>
      <c r="W2042" s="3">
        <v>278.27</v>
      </c>
    </row>
    <row r="2043" spans="1:23" ht="36.75">
      <c r="A2043" s="3" t="s">
        <v>23</v>
      </c>
      <c r="B2043" s="3" t="s">
        <v>24</v>
      </c>
      <c r="C2043" s="3" t="s">
        <v>35</v>
      </c>
      <c r="D2043" s="3" t="s">
        <v>39</v>
      </c>
      <c r="E2043" s="3" t="s">
        <v>30</v>
      </c>
      <c r="F2043" s="3" t="s">
        <v>196</v>
      </c>
      <c r="G2043" s="3">
        <v>2016</v>
      </c>
      <c r="H2043" s="3" t="str">
        <f>CONCATENATE("64240711354")</f>
        <v>64240711354</v>
      </c>
      <c r="I2043" s="3" t="s">
        <v>25</v>
      </c>
      <c r="J2043" s="3" t="s">
        <v>26</v>
      </c>
      <c r="K2043" s="3" t="str">
        <f t="shared" si="64"/>
        <v/>
      </c>
      <c r="L2043" s="3" t="str">
        <f>CONCATENATE("11 11.2 4b")</f>
        <v>11 11.2 4b</v>
      </c>
      <c r="M2043" s="3" t="str">
        <f>CONCATENATE("02590970428")</f>
        <v>02590970428</v>
      </c>
      <c r="N2043" s="3" t="s">
        <v>2029</v>
      </c>
      <c r="O2043" s="3"/>
      <c r="P2043" s="4">
        <v>42783</v>
      </c>
      <c r="Q2043" s="3" t="s">
        <v>27</v>
      </c>
      <c r="R2043" s="3" t="s">
        <v>28</v>
      </c>
      <c r="S2043" s="3" t="s">
        <v>29</v>
      </c>
      <c r="T2043" s="5">
        <v>1989.39</v>
      </c>
      <c r="U2043" s="3">
        <v>857.82</v>
      </c>
      <c r="V2043" s="3">
        <v>792.18</v>
      </c>
      <c r="W2043" s="3">
        <v>339.39</v>
      </c>
    </row>
    <row r="2044" spans="1:23" ht="60.75">
      <c r="A2044" s="3" t="s">
        <v>23</v>
      </c>
      <c r="B2044" s="3" t="s">
        <v>24</v>
      </c>
      <c r="C2044" s="3" t="s">
        <v>35</v>
      </c>
      <c r="D2044" s="3" t="s">
        <v>48</v>
      </c>
      <c r="E2044" s="3" t="s">
        <v>30</v>
      </c>
      <c r="F2044" s="3" t="s">
        <v>157</v>
      </c>
      <c r="G2044" s="3">
        <v>2016</v>
      </c>
      <c r="H2044" s="3" t="str">
        <f>CONCATENATE("64240760856")</f>
        <v>64240760856</v>
      </c>
      <c r="I2044" s="3" t="s">
        <v>25</v>
      </c>
      <c r="J2044" s="3" t="s">
        <v>26</v>
      </c>
      <c r="K2044" s="3" t="str">
        <f t="shared" si="64"/>
        <v/>
      </c>
      <c r="L2044" s="3" t="str">
        <f>CONCATENATE("11 11.1 4b")</f>
        <v>11 11.1 4b</v>
      </c>
      <c r="M2044" s="3" t="str">
        <f>CONCATENATE("RFFMSL60A54C886F")</f>
        <v>RFFMSL60A54C886F</v>
      </c>
      <c r="N2044" s="3" t="s">
        <v>2030</v>
      </c>
      <c r="O2044" s="3"/>
      <c r="P2044" s="4">
        <v>42783</v>
      </c>
      <c r="Q2044" s="3" t="s">
        <v>27</v>
      </c>
      <c r="R2044" s="3" t="s">
        <v>28</v>
      </c>
      <c r="S2044" s="3" t="s">
        <v>29</v>
      </c>
      <c r="T2044" s="5">
        <v>3346.7</v>
      </c>
      <c r="U2044" s="5">
        <v>1443.1</v>
      </c>
      <c r="V2044" s="5">
        <v>1332.66</v>
      </c>
      <c r="W2044" s="3">
        <v>570.94000000000005</v>
      </c>
    </row>
    <row r="2045" spans="1:23" ht="60.75">
      <c r="A2045" s="3" t="s">
        <v>23</v>
      </c>
      <c r="B2045" s="3" t="s">
        <v>24</v>
      </c>
      <c r="C2045" s="3" t="s">
        <v>35</v>
      </c>
      <c r="D2045" s="3" t="s">
        <v>43</v>
      </c>
      <c r="E2045" s="3" t="s">
        <v>33</v>
      </c>
      <c r="F2045" s="3" t="s">
        <v>848</v>
      </c>
      <c r="G2045" s="3">
        <v>2016</v>
      </c>
      <c r="H2045" s="3" t="str">
        <f>CONCATENATE("64240633269")</f>
        <v>64240633269</v>
      </c>
      <c r="I2045" s="3" t="s">
        <v>25</v>
      </c>
      <c r="J2045" s="3" t="s">
        <v>26</v>
      </c>
      <c r="K2045" s="3" t="str">
        <f t="shared" si="64"/>
        <v/>
      </c>
      <c r="L2045" s="3" t="str">
        <f>CONCATENATE("11 11.2 4b")</f>
        <v>11 11.2 4b</v>
      </c>
      <c r="M2045" s="3" t="str">
        <f>CONCATENATE("LNGNNL65S54Z133B")</f>
        <v>LNGNNL65S54Z133B</v>
      </c>
      <c r="N2045" s="3" t="s">
        <v>2031</v>
      </c>
      <c r="O2045" s="3"/>
      <c r="P2045" s="4">
        <v>42783</v>
      </c>
      <c r="Q2045" s="3" t="s">
        <v>27</v>
      </c>
      <c r="R2045" s="3" t="s">
        <v>28</v>
      </c>
      <c r="S2045" s="3" t="s">
        <v>29</v>
      </c>
      <c r="T2045" s="3">
        <v>981.16</v>
      </c>
      <c r="U2045" s="3">
        <v>423.08</v>
      </c>
      <c r="V2045" s="3">
        <v>390.7</v>
      </c>
      <c r="W2045" s="3">
        <v>167.38</v>
      </c>
    </row>
    <row r="2046" spans="1:23" ht="60.75">
      <c r="A2046" s="3" t="s">
        <v>23</v>
      </c>
      <c r="B2046" s="3" t="s">
        <v>24</v>
      </c>
      <c r="C2046" s="3" t="s">
        <v>35</v>
      </c>
      <c r="D2046" s="3" t="s">
        <v>43</v>
      </c>
      <c r="E2046" s="3" t="s">
        <v>30</v>
      </c>
      <c r="F2046" s="3" t="s">
        <v>113</v>
      </c>
      <c r="G2046" s="3">
        <v>2016</v>
      </c>
      <c r="H2046" s="3" t="str">
        <f>CONCATENATE("64210868416")</f>
        <v>64210868416</v>
      </c>
      <c r="I2046" s="3" t="s">
        <v>25</v>
      </c>
      <c r="J2046" s="3" t="s">
        <v>26</v>
      </c>
      <c r="K2046" s="3" t="str">
        <f t="shared" si="64"/>
        <v/>
      </c>
      <c r="L2046" s="3" t="str">
        <f>CONCATENATE("13 13.1 4a")</f>
        <v>13 13.1 4a</v>
      </c>
      <c r="M2046" s="3" t="str">
        <f>CONCATENATE("GCMLNI68B27B352E")</f>
        <v>GCMLNI68B27B352E</v>
      </c>
      <c r="N2046" s="3" t="s">
        <v>2032</v>
      </c>
      <c r="O2046" s="3"/>
      <c r="P2046" s="4">
        <v>42783</v>
      </c>
      <c r="Q2046" s="3" t="s">
        <v>27</v>
      </c>
      <c r="R2046" s="3" t="s">
        <v>28</v>
      </c>
      <c r="S2046" s="3" t="s">
        <v>29</v>
      </c>
      <c r="T2046" s="5">
        <v>4399.3</v>
      </c>
      <c r="U2046" s="5">
        <v>1896.98</v>
      </c>
      <c r="V2046" s="5">
        <v>1751.8</v>
      </c>
      <c r="W2046" s="3">
        <v>750.52</v>
      </c>
    </row>
    <row r="2047" spans="1:23" ht="60.75">
      <c r="A2047" s="3" t="s">
        <v>23</v>
      </c>
      <c r="B2047" s="3" t="s">
        <v>24</v>
      </c>
      <c r="C2047" s="3" t="s">
        <v>35</v>
      </c>
      <c r="D2047" s="3" t="s">
        <v>43</v>
      </c>
      <c r="E2047" s="3" t="s">
        <v>30</v>
      </c>
      <c r="F2047" s="3" t="s">
        <v>124</v>
      </c>
      <c r="G2047" s="3">
        <v>2016</v>
      </c>
      <c r="H2047" s="3" t="str">
        <f>CONCATENATE("64240624235")</f>
        <v>64240624235</v>
      </c>
      <c r="I2047" s="3" t="s">
        <v>25</v>
      </c>
      <c r="J2047" s="3" t="s">
        <v>26</v>
      </c>
      <c r="K2047" s="3" t="str">
        <f t="shared" si="64"/>
        <v/>
      </c>
      <c r="L2047" s="3" t="str">
        <f>CONCATENATE("11 11.2 4b")</f>
        <v>11 11.2 4b</v>
      </c>
      <c r="M2047" s="3" t="str">
        <f>CONCATENATE("TBRFNC67L14Z133R")</f>
        <v>TBRFNC67L14Z133R</v>
      </c>
      <c r="N2047" s="3" t="s">
        <v>581</v>
      </c>
      <c r="O2047" s="3"/>
      <c r="P2047" s="4">
        <v>42783</v>
      </c>
      <c r="Q2047" s="3" t="s">
        <v>27</v>
      </c>
      <c r="R2047" s="3" t="s">
        <v>28</v>
      </c>
      <c r="S2047" s="3" t="s">
        <v>29</v>
      </c>
      <c r="T2047" s="5">
        <v>12400.49</v>
      </c>
      <c r="U2047" s="5">
        <v>5347.09</v>
      </c>
      <c r="V2047" s="5">
        <v>4937.88</v>
      </c>
      <c r="W2047" s="5">
        <v>2115.52</v>
      </c>
    </row>
    <row r="2048" spans="1:23" ht="36.75">
      <c r="A2048" s="3" t="s">
        <v>23</v>
      </c>
      <c r="B2048" s="3" t="s">
        <v>24</v>
      </c>
      <c r="C2048" s="3" t="s">
        <v>35</v>
      </c>
      <c r="D2048" s="3" t="s">
        <v>39</v>
      </c>
      <c r="E2048" s="3" t="s">
        <v>32</v>
      </c>
      <c r="F2048" s="3" t="s">
        <v>69</v>
      </c>
      <c r="G2048" s="3">
        <v>2016</v>
      </c>
      <c r="H2048" s="3" t="str">
        <f>CONCATENATE("64240773172")</f>
        <v>64240773172</v>
      </c>
      <c r="I2048" s="3" t="s">
        <v>25</v>
      </c>
      <c r="J2048" s="3" t="s">
        <v>26</v>
      </c>
      <c r="K2048" s="3" t="str">
        <f t="shared" si="64"/>
        <v/>
      </c>
      <c r="L2048" s="3" t="str">
        <f>CONCATENATE("10 10.1 4a")</f>
        <v>10 10.1 4a</v>
      </c>
      <c r="M2048" s="3" t="str">
        <f>CONCATENATE("00487350423")</f>
        <v>00487350423</v>
      </c>
      <c r="N2048" s="3" t="s">
        <v>2033</v>
      </c>
      <c r="O2048" s="3"/>
      <c r="P2048" s="4">
        <v>42783</v>
      </c>
      <c r="Q2048" s="3" t="s">
        <v>27</v>
      </c>
      <c r="R2048" s="3" t="s">
        <v>28</v>
      </c>
      <c r="S2048" s="3" t="s">
        <v>29</v>
      </c>
      <c r="T2048" s="3">
        <v>300.94</v>
      </c>
      <c r="U2048" s="3">
        <v>129.77000000000001</v>
      </c>
      <c r="V2048" s="3">
        <v>119.83</v>
      </c>
      <c r="W2048" s="3">
        <v>51.34</v>
      </c>
    </row>
    <row r="2049" spans="1:23" ht="60.75">
      <c r="A2049" s="3" t="s">
        <v>23</v>
      </c>
      <c r="B2049" s="3" t="s">
        <v>24</v>
      </c>
      <c r="C2049" s="3" t="s">
        <v>35</v>
      </c>
      <c r="D2049" s="3" t="s">
        <v>43</v>
      </c>
      <c r="E2049" s="3" t="s">
        <v>30</v>
      </c>
      <c r="F2049" s="3" t="s">
        <v>131</v>
      </c>
      <c r="G2049" s="3">
        <v>2016</v>
      </c>
      <c r="H2049" s="3" t="str">
        <f>CONCATENATE("64240782959")</f>
        <v>64240782959</v>
      </c>
      <c r="I2049" s="3" t="s">
        <v>25</v>
      </c>
      <c r="J2049" s="3" t="s">
        <v>26</v>
      </c>
      <c r="K2049" s="3" t="str">
        <f t="shared" si="64"/>
        <v/>
      </c>
      <c r="L2049" s="3" t="str">
        <f>CONCATENATE("11 11.2 4b")</f>
        <v>11 11.2 4b</v>
      </c>
      <c r="M2049" s="3" t="str">
        <f>CONCATENATE("LSIRGA38L09F497X")</f>
        <v>LSIRGA38L09F497X</v>
      </c>
      <c r="N2049" s="3" t="s">
        <v>887</v>
      </c>
      <c r="O2049" s="3"/>
      <c r="P2049" s="4">
        <v>42783</v>
      </c>
      <c r="Q2049" s="3" t="s">
        <v>27</v>
      </c>
      <c r="R2049" s="3" t="s">
        <v>28</v>
      </c>
      <c r="S2049" s="3" t="s">
        <v>29</v>
      </c>
      <c r="T2049" s="5">
        <v>5311.66</v>
      </c>
      <c r="U2049" s="5">
        <v>2290.39</v>
      </c>
      <c r="V2049" s="5">
        <v>2115.1</v>
      </c>
      <c r="W2049" s="3">
        <v>906.17</v>
      </c>
    </row>
    <row r="2050" spans="1:23" ht="60.75">
      <c r="A2050" s="3" t="s">
        <v>23</v>
      </c>
      <c r="B2050" s="3" t="s">
        <v>24</v>
      </c>
      <c r="C2050" s="3" t="s">
        <v>35</v>
      </c>
      <c r="D2050" s="3" t="s">
        <v>36</v>
      </c>
      <c r="E2050" s="3" t="s">
        <v>33</v>
      </c>
      <c r="F2050" s="3" t="s">
        <v>89</v>
      </c>
      <c r="G2050" s="3">
        <v>2016</v>
      </c>
      <c r="H2050" s="3" t="str">
        <f>CONCATENATE("64240458170")</f>
        <v>64240458170</v>
      </c>
      <c r="I2050" s="3" t="s">
        <v>25</v>
      </c>
      <c r="J2050" s="3" t="s">
        <v>26</v>
      </c>
      <c r="K2050" s="3" t="str">
        <f t="shared" si="64"/>
        <v/>
      </c>
      <c r="L2050" s="3" t="str">
        <f>CONCATENATE("11 11.2 4b")</f>
        <v>11 11.2 4b</v>
      </c>
      <c r="M2050" s="3" t="str">
        <f>CONCATENATE("GRNBRC64A54A271F")</f>
        <v>GRNBRC64A54A271F</v>
      </c>
      <c r="N2050" s="3" t="s">
        <v>2034</v>
      </c>
      <c r="O2050" s="3"/>
      <c r="P2050" s="4">
        <v>42783</v>
      </c>
      <c r="Q2050" s="3" t="s">
        <v>27</v>
      </c>
      <c r="R2050" s="3" t="s">
        <v>28</v>
      </c>
      <c r="S2050" s="3" t="s">
        <v>29</v>
      </c>
      <c r="T2050" s="5">
        <v>2061.13</v>
      </c>
      <c r="U2050" s="3">
        <v>888.76</v>
      </c>
      <c r="V2050" s="3">
        <v>820.74</v>
      </c>
      <c r="W2050" s="3">
        <v>351.63</v>
      </c>
    </row>
    <row r="2051" spans="1:23" ht="60.75">
      <c r="A2051" s="3" t="s">
        <v>23</v>
      </c>
      <c r="B2051" s="3" t="s">
        <v>24</v>
      </c>
      <c r="C2051" s="3" t="s">
        <v>35</v>
      </c>
      <c r="D2051" s="3" t="s">
        <v>39</v>
      </c>
      <c r="E2051" s="3" t="s">
        <v>30</v>
      </c>
      <c r="F2051" s="3" t="s">
        <v>84</v>
      </c>
      <c r="G2051" s="3">
        <v>2016</v>
      </c>
      <c r="H2051" s="3" t="str">
        <f>CONCATENATE("64210739781")</f>
        <v>64210739781</v>
      </c>
      <c r="I2051" s="3" t="s">
        <v>25</v>
      </c>
      <c r="J2051" s="3" t="s">
        <v>26</v>
      </c>
      <c r="K2051" s="3" t="str">
        <f t="shared" si="64"/>
        <v/>
      </c>
      <c r="L2051" s="3" t="str">
        <f>CONCATENATE("13 13.1 4a")</f>
        <v>13 13.1 4a</v>
      </c>
      <c r="M2051" s="3" t="str">
        <f>CONCATENATE("PTOFNC50C24D451C")</f>
        <v>PTOFNC50C24D451C</v>
      </c>
      <c r="N2051" s="3" t="s">
        <v>551</v>
      </c>
      <c r="O2051" s="3"/>
      <c r="P2051" s="4">
        <v>42783</v>
      </c>
      <c r="Q2051" s="3" t="s">
        <v>27</v>
      </c>
      <c r="R2051" s="3" t="s">
        <v>28</v>
      </c>
      <c r="S2051" s="3" t="s">
        <v>29</v>
      </c>
      <c r="T2051" s="5">
        <v>4590</v>
      </c>
      <c r="U2051" s="5">
        <v>1979.21</v>
      </c>
      <c r="V2051" s="5">
        <v>1827.74</v>
      </c>
      <c r="W2051" s="3">
        <v>783.05</v>
      </c>
    </row>
    <row r="2052" spans="1:23" ht="60.75">
      <c r="A2052" s="3" t="s">
        <v>23</v>
      </c>
      <c r="B2052" s="3" t="s">
        <v>24</v>
      </c>
      <c r="C2052" s="3" t="s">
        <v>35</v>
      </c>
      <c r="D2052" s="3" t="s">
        <v>43</v>
      </c>
      <c r="E2052" s="3" t="s">
        <v>32</v>
      </c>
      <c r="F2052" s="3" t="s">
        <v>575</v>
      </c>
      <c r="G2052" s="3">
        <v>2016</v>
      </c>
      <c r="H2052" s="3" t="str">
        <f>CONCATENATE("64240400404")</f>
        <v>64240400404</v>
      </c>
      <c r="I2052" s="3" t="s">
        <v>25</v>
      </c>
      <c r="J2052" s="3" t="s">
        <v>26</v>
      </c>
      <c r="K2052" s="3" t="str">
        <f t="shared" si="64"/>
        <v/>
      </c>
      <c r="L2052" s="3" t="str">
        <f>CONCATENATE("11 11.2 4b")</f>
        <v>11 11.2 4b</v>
      </c>
      <c r="M2052" s="3" t="str">
        <f>CONCATENATE("CVNPLA51D49L736B")</f>
        <v>CVNPLA51D49L736B</v>
      </c>
      <c r="N2052" s="3" t="s">
        <v>2035</v>
      </c>
      <c r="O2052" s="3"/>
      <c r="P2052" s="4">
        <v>42783</v>
      </c>
      <c r="Q2052" s="3" t="s">
        <v>27</v>
      </c>
      <c r="R2052" s="3" t="s">
        <v>28</v>
      </c>
      <c r="S2052" s="3" t="s">
        <v>29</v>
      </c>
      <c r="T2052" s="5">
        <v>7506.77</v>
      </c>
      <c r="U2052" s="5">
        <v>3236.92</v>
      </c>
      <c r="V2052" s="5">
        <v>2989.2</v>
      </c>
      <c r="W2052" s="5">
        <v>1280.6500000000001</v>
      </c>
    </row>
    <row r="2053" spans="1:23" ht="72.75">
      <c r="A2053" s="3" t="s">
        <v>23</v>
      </c>
      <c r="B2053" s="3" t="s">
        <v>24</v>
      </c>
      <c r="C2053" s="3" t="s">
        <v>35</v>
      </c>
      <c r="D2053" s="3" t="s">
        <v>39</v>
      </c>
      <c r="E2053" s="3" t="s">
        <v>30</v>
      </c>
      <c r="F2053" s="3" t="s">
        <v>84</v>
      </c>
      <c r="G2053" s="3">
        <v>2016</v>
      </c>
      <c r="H2053" s="3" t="str">
        <f>CONCATENATE("64210917122")</f>
        <v>64210917122</v>
      </c>
      <c r="I2053" s="3" t="s">
        <v>25</v>
      </c>
      <c r="J2053" s="3" t="s">
        <v>26</v>
      </c>
      <c r="K2053" s="3" t="str">
        <f t="shared" si="64"/>
        <v/>
      </c>
      <c r="L2053" s="3" t="str">
        <f>CONCATENATE("13 13.1 4a")</f>
        <v>13 13.1 4a</v>
      </c>
      <c r="M2053" s="3" t="str">
        <f>CONCATENATE("FRRLRD30M02H501G")</f>
        <v>FRRLRD30M02H501G</v>
      </c>
      <c r="N2053" s="3" t="s">
        <v>2036</v>
      </c>
      <c r="O2053" s="3"/>
      <c r="P2053" s="4">
        <v>42783</v>
      </c>
      <c r="Q2053" s="3" t="s">
        <v>27</v>
      </c>
      <c r="R2053" s="3" t="s">
        <v>28</v>
      </c>
      <c r="S2053" s="3" t="s">
        <v>29</v>
      </c>
      <c r="T2053" s="5">
        <v>3780.62</v>
      </c>
      <c r="U2053" s="5">
        <v>1630.2</v>
      </c>
      <c r="V2053" s="5">
        <v>1505.44</v>
      </c>
      <c r="W2053" s="3">
        <v>644.98</v>
      </c>
    </row>
    <row r="2054" spans="1:23" ht="36.75">
      <c r="A2054" s="3" t="s">
        <v>23</v>
      </c>
      <c r="B2054" s="3" t="s">
        <v>24</v>
      </c>
      <c r="C2054" s="3" t="s">
        <v>35</v>
      </c>
      <c r="D2054" s="3" t="s">
        <v>43</v>
      </c>
      <c r="E2054" s="3" t="s">
        <v>30</v>
      </c>
      <c r="F2054" s="3" t="s">
        <v>124</v>
      </c>
      <c r="G2054" s="3">
        <v>2016</v>
      </c>
      <c r="H2054" s="3" t="str">
        <f>CONCATENATE("64210405268")</f>
        <v>64210405268</v>
      </c>
      <c r="I2054" s="3" t="s">
        <v>25</v>
      </c>
      <c r="J2054" s="3" t="s">
        <v>26</v>
      </c>
      <c r="K2054" s="3" t="str">
        <f t="shared" si="64"/>
        <v/>
      </c>
      <c r="L2054" s="3" t="str">
        <f>CONCATENATE("13 13.1 4a")</f>
        <v>13 13.1 4a</v>
      </c>
      <c r="M2054" s="3" t="str">
        <f>CONCATENATE("01429170416")</f>
        <v>01429170416</v>
      </c>
      <c r="N2054" s="3" t="s">
        <v>2037</v>
      </c>
      <c r="O2054" s="3"/>
      <c r="P2054" s="4">
        <v>42783</v>
      </c>
      <c r="Q2054" s="3" t="s">
        <v>27</v>
      </c>
      <c r="R2054" s="3" t="s">
        <v>28</v>
      </c>
      <c r="S2054" s="3" t="s">
        <v>29</v>
      </c>
      <c r="T2054" s="5">
        <v>4590</v>
      </c>
      <c r="U2054" s="5">
        <v>1979.21</v>
      </c>
      <c r="V2054" s="5">
        <v>1827.74</v>
      </c>
      <c r="W2054" s="3">
        <v>783.05</v>
      </c>
    </row>
    <row r="2055" spans="1:23" ht="36.75">
      <c r="A2055" s="3" t="s">
        <v>23</v>
      </c>
      <c r="B2055" s="3" t="s">
        <v>24</v>
      </c>
      <c r="C2055" s="3" t="s">
        <v>35</v>
      </c>
      <c r="D2055" s="3" t="s">
        <v>48</v>
      </c>
      <c r="E2055" s="3" t="s">
        <v>49</v>
      </c>
      <c r="F2055" s="3" t="s">
        <v>50</v>
      </c>
      <c r="G2055" s="3">
        <v>2016</v>
      </c>
      <c r="H2055" s="3" t="str">
        <f>CONCATENATE("64240723797")</f>
        <v>64240723797</v>
      </c>
      <c r="I2055" s="3" t="s">
        <v>25</v>
      </c>
      <c r="J2055" s="3" t="s">
        <v>26</v>
      </c>
      <c r="K2055" s="3" t="str">
        <f t="shared" si="64"/>
        <v/>
      </c>
      <c r="L2055" s="3" t="str">
        <f>CONCATENATE("11 11.2 4b")</f>
        <v>11 11.2 4b</v>
      </c>
      <c r="M2055" s="3" t="str">
        <f>CONCATENATE("01709190431")</f>
        <v>01709190431</v>
      </c>
      <c r="N2055" s="3" t="s">
        <v>2038</v>
      </c>
      <c r="O2055" s="3"/>
      <c r="P2055" s="4">
        <v>42783</v>
      </c>
      <c r="Q2055" s="3" t="s">
        <v>27</v>
      </c>
      <c r="R2055" s="3" t="s">
        <v>28</v>
      </c>
      <c r="S2055" s="3" t="s">
        <v>29</v>
      </c>
      <c r="T2055" s="5">
        <v>5585.91</v>
      </c>
      <c r="U2055" s="5">
        <v>2408.64</v>
      </c>
      <c r="V2055" s="5">
        <v>2224.31</v>
      </c>
      <c r="W2055" s="3">
        <v>952.96</v>
      </c>
    </row>
    <row r="2056" spans="1:23" ht="36.75">
      <c r="A2056" s="3" t="s">
        <v>23</v>
      </c>
      <c r="B2056" s="3" t="s">
        <v>24</v>
      </c>
      <c r="C2056" s="3" t="s">
        <v>35</v>
      </c>
      <c r="D2056" s="3" t="s">
        <v>36</v>
      </c>
      <c r="E2056" s="3" t="s">
        <v>42</v>
      </c>
      <c r="F2056" s="3" t="s">
        <v>42</v>
      </c>
      <c r="G2056" s="3">
        <v>2016</v>
      </c>
      <c r="H2056" s="3" t="str">
        <f>CONCATENATE("64240573572")</f>
        <v>64240573572</v>
      </c>
      <c r="I2056" s="3" t="s">
        <v>25</v>
      </c>
      <c r="J2056" s="3" t="s">
        <v>26</v>
      </c>
      <c r="K2056" s="3" t="str">
        <f t="shared" si="64"/>
        <v/>
      </c>
      <c r="L2056" s="3" t="str">
        <f>CONCATENATE("11 11.2 4b")</f>
        <v>11 11.2 4b</v>
      </c>
      <c r="M2056" s="3" t="str">
        <f>CONCATENATE("02012970444")</f>
        <v>02012970444</v>
      </c>
      <c r="N2056" s="3" t="s">
        <v>2039</v>
      </c>
      <c r="O2056" s="3"/>
      <c r="P2056" s="4">
        <v>42783</v>
      </c>
      <c r="Q2056" s="3" t="s">
        <v>27</v>
      </c>
      <c r="R2056" s="3" t="s">
        <v>28</v>
      </c>
      <c r="S2056" s="3" t="s">
        <v>29</v>
      </c>
      <c r="T2056" s="5">
        <v>2908.73</v>
      </c>
      <c r="U2056" s="5">
        <v>1254.24</v>
      </c>
      <c r="V2056" s="5">
        <v>1158.26</v>
      </c>
      <c r="W2056" s="3">
        <v>496.23</v>
      </c>
    </row>
    <row r="2057" spans="1:23" ht="60.75">
      <c r="A2057" s="3" t="s">
        <v>23</v>
      </c>
      <c r="B2057" s="3" t="s">
        <v>24</v>
      </c>
      <c r="C2057" s="3" t="s">
        <v>35</v>
      </c>
      <c r="D2057" s="3" t="s">
        <v>39</v>
      </c>
      <c r="E2057" s="3" t="s">
        <v>30</v>
      </c>
      <c r="F2057" s="3" t="s">
        <v>84</v>
      </c>
      <c r="G2057" s="3">
        <v>2016</v>
      </c>
      <c r="H2057" s="3" t="str">
        <f>CONCATENATE("64210872624")</f>
        <v>64210872624</v>
      </c>
      <c r="I2057" s="3" t="s">
        <v>25</v>
      </c>
      <c r="J2057" s="3" t="s">
        <v>26</v>
      </c>
      <c r="K2057" s="3" t="str">
        <f t="shared" si="64"/>
        <v/>
      </c>
      <c r="L2057" s="3" t="str">
        <f>CONCATENATE("13 13.1 4a")</f>
        <v>13 13.1 4a</v>
      </c>
      <c r="M2057" s="3" t="str">
        <f>CONCATENATE("PRRRLD60D19C524S")</f>
        <v>PRRRLD60D19C524S</v>
      </c>
      <c r="N2057" s="3" t="s">
        <v>719</v>
      </c>
      <c r="O2057" s="3"/>
      <c r="P2057" s="4">
        <v>42783</v>
      </c>
      <c r="Q2057" s="3" t="s">
        <v>27</v>
      </c>
      <c r="R2057" s="3" t="s">
        <v>28</v>
      </c>
      <c r="S2057" s="3" t="s">
        <v>29</v>
      </c>
      <c r="T2057" s="5">
        <v>3686.04</v>
      </c>
      <c r="U2057" s="5">
        <v>1589.42</v>
      </c>
      <c r="V2057" s="5">
        <v>1467.78</v>
      </c>
      <c r="W2057" s="3">
        <v>628.84</v>
      </c>
    </row>
    <row r="2058" spans="1:23" ht="60.75">
      <c r="A2058" s="3" t="s">
        <v>23</v>
      </c>
      <c r="B2058" s="3" t="s">
        <v>24</v>
      </c>
      <c r="C2058" s="3" t="s">
        <v>35</v>
      </c>
      <c r="D2058" s="3" t="s">
        <v>39</v>
      </c>
      <c r="E2058" s="3" t="s">
        <v>30</v>
      </c>
      <c r="F2058" s="3" t="s">
        <v>40</v>
      </c>
      <c r="G2058" s="3">
        <v>2016</v>
      </c>
      <c r="H2058" s="3" t="str">
        <f>CONCATENATE("64240530598")</f>
        <v>64240530598</v>
      </c>
      <c r="I2058" s="3" t="s">
        <v>25</v>
      </c>
      <c r="J2058" s="3" t="s">
        <v>26</v>
      </c>
      <c r="K2058" s="3" t="str">
        <f t="shared" si="64"/>
        <v/>
      </c>
      <c r="L2058" s="3" t="str">
        <f>CONCATENATE("11 11.2 4b")</f>
        <v>11 11.2 4b</v>
      </c>
      <c r="M2058" s="3" t="str">
        <f>CONCATENATE("GCMCSR62L21A329P")</f>
        <v>GCMCSR62L21A329P</v>
      </c>
      <c r="N2058" s="3" t="s">
        <v>2040</v>
      </c>
      <c r="O2058" s="3"/>
      <c r="P2058" s="4">
        <v>42783</v>
      </c>
      <c r="Q2058" s="3" t="s">
        <v>27</v>
      </c>
      <c r="R2058" s="3" t="s">
        <v>28</v>
      </c>
      <c r="S2058" s="3" t="s">
        <v>29</v>
      </c>
      <c r="T2058" s="3">
        <v>820.62</v>
      </c>
      <c r="U2058" s="3">
        <v>353.85</v>
      </c>
      <c r="V2058" s="3">
        <v>326.77</v>
      </c>
      <c r="W2058" s="3">
        <v>140</v>
      </c>
    </row>
    <row r="2059" spans="1:23" ht="60.75">
      <c r="A2059" s="3" t="s">
        <v>23</v>
      </c>
      <c r="B2059" s="3" t="s">
        <v>24</v>
      </c>
      <c r="C2059" s="3" t="s">
        <v>35</v>
      </c>
      <c r="D2059" s="3" t="s">
        <v>36</v>
      </c>
      <c r="E2059" s="3" t="s">
        <v>30</v>
      </c>
      <c r="F2059" s="3" t="s">
        <v>37</v>
      </c>
      <c r="G2059" s="3">
        <v>2016</v>
      </c>
      <c r="H2059" s="3" t="str">
        <f>CONCATENATE("64240411898")</f>
        <v>64240411898</v>
      </c>
      <c r="I2059" s="3" t="s">
        <v>25</v>
      </c>
      <c r="J2059" s="3" t="s">
        <v>26</v>
      </c>
      <c r="K2059" s="3" t="str">
        <f t="shared" si="64"/>
        <v/>
      </c>
      <c r="L2059" s="3" t="str">
        <f>CONCATENATE("10 10.1 4b")</f>
        <v>10 10.1 4b</v>
      </c>
      <c r="M2059" s="3" t="str">
        <f>CONCATENATE("MZZPTR53E04F487D")</f>
        <v>MZZPTR53E04F487D</v>
      </c>
      <c r="N2059" s="3" t="s">
        <v>2041</v>
      </c>
      <c r="O2059" s="3"/>
      <c r="P2059" s="4">
        <v>42783</v>
      </c>
      <c r="Q2059" s="3" t="s">
        <v>27</v>
      </c>
      <c r="R2059" s="3" t="s">
        <v>28</v>
      </c>
      <c r="S2059" s="3" t="s">
        <v>29</v>
      </c>
      <c r="T2059" s="3">
        <v>697.28</v>
      </c>
      <c r="U2059" s="3">
        <v>300.67</v>
      </c>
      <c r="V2059" s="3">
        <v>277.66000000000003</v>
      </c>
      <c r="W2059" s="3">
        <v>118.95</v>
      </c>
    </row>
    <row r="2060" spans="1:23" ht="60.75">
      <c r="A2060" s="3" t="s">
        <v>23</v>
      </c>
      <c r="B2060" s="3" t="s">
        <v>24</v>
      </c>
      <c r="C2060" s="3" t="s">
        <v>35</v>
      </c>
      <c r="D2060" s="3" t="s">
        <v>43</v>
      </c>
      <c r="E2060" s="3" t="s">
        <v>32</v>
      </c>
      <c r="F2060" s="3" t="s">
        <v>44</v>
      </c>
      <c r="G2060" s="3">
        <v>2016</v>
      </c>
      <c r="H2060" s="3" t="str">
        <f>CONCATENATE("64210494973")</f>
        <v>64210494973</v>
      </c>
      <c r="I2060" s="3" t="s">
        <v>25</v>
      </c>
      <c r="J2060" s="3" t="s">
        <v>26</v>
      </c>
      <c r="K2060" s="3" t="str">
        <f t="shared" si="64"/>
        <v/>
      </c>
      <c r="L2060" s="3" t="str">
        <f>CONCATENATE("13 13.1 4a")</f>
        <v>13 13.1 4a</v>
      </c>
      <c r="M2060" s="3" t="str">
        <f>CONCATENATE("PRSMRZ59M31D749J")</f>
        <v>PRSMRZ59M31D749J</v>
      </c>
      <c r="N2060" s="3" t="s">
        <v>2042</v>
      </c>
      <c r="O2060" s="3"/>
      <c r="P2060" s="4">
        <v>42783</v>
      </c>
      <c r="Q2060" s="3" t="s">
        <v>27</v>
      </c>
      <c r="R2060" s="3" t="s">
        <v>28</v>
      </c>
      <c r="S2060" s="3" t="s">
        <v>29</v>
      </c>
      <c r="T2060" s="5">
        <v>3742.77</v>
      </c>
      <c r="U2060" s="5">
        <v>1613.88</v>
      </c>
      <c r="V2060" s="5">
        <v>1490.37</v>
      </c>
      <c r="W2060" s="3">
        <v>638.52</v>
      </c>
    </row>
    <row r="2061" spans="1:23" ht="60.75">
      <c r="A2061" s="3" t="s">
        <v>23</v>
      </c>
      <c r="B2061" s="3" t="s">
        <v>24</v>
      </c>
      <c r="C2061" s="3" t="s">
        <v>35</v>
      </c>
      <c r="D2061" s="3" t="s">
        <v>36</v>
      </c>
      <c r="E2061" s="3" t="s">
        <v>42</v>
      </c>
      <c r="F2061" s="3" t="s">
        <v>42</v>
      </c>
      <c r="G2061" s="3">
        <v>2016</v>
      </c>
      <c r="H2061" s="3" t="str">
        <f>CONCATENATE("64240042784")</f>
        <v>64240042784</v>
      </c>
      <c r="I2061" s="3" t="s">
        <v>25</v>
      </c>
      <c r="J2061" s="3" t="s">
        <v>26</v>
      </c>
      <c r="K2061" s="3" t="str">
        <f t="shared" si="64"/>
        <v/>
      </c>
      <c r="L2061" s="3" t="str">
        <f>CONCATENATE("11 11.2 4b")</f>
        <v>11 11.2 4b</v>
      </c>
      <c r="M2061" s="3" t="str">
        <f>CONCATENATE("FNRNTN49P09H588H")</f>
        <v>FNRNTN49P09H588H</v>
      </c>
      <c r="N2061" s="3" t="s">
        <v>2043</v>
      </c>
      <c r="O2061" s="3"/>
      <c r="P2061" s="4">
        <v>42783</v>
      </c>
      <c r="Q2061" s="3" t="s">
        <v>27</v>
      </c>
      <c r="R2061" s="3" t="s">
        <v>28</v>
      </c>
      <c r="S2061" s="3" t="s">
        <v>29</v>
      </c>
      <c r="T2061" s="5">
        <v>4980.47</v>
      </c>
      <c r="U2061" s="5">
        <v>2147.58</v>
      </c>
      <c r="V2061" s="5">
        <v>1983.22</v>
      </c>
      <c r="W2061" s="3">
        <v>849.67</v>
      </c>
    </row>
    <row r="2062" spans="1:23" ht="60.75">
      <c r="A2062" s="3" t="s">
        <v>23</v>
      </c>
      <c r="B2062" s="3" t="s">
        <v>24</v>
      </c>
      <c r="C2062" s="3" t="s">
        <v>35</v>
      </c>
      <c r="D2062" s="3" t="s">
        <v>36</v>
      </c>
      <c r="E2062" s="3" t="s">
        <v>32</v>
      </c>
      <c r="F2062" s="3" t="s">
        <v>208</v>
      </c>
      <c r="G2062" s="3">
        <v>2016</v>
      </c>
      <c r="H2062" s="3" t="str">
        <f>CONCATENATE("64240236808")</f>
        <v>64240236808</v>
      </c>
      <c r="I2062" s="3" t="s">
        <v>25</v>
      </c>
      <c r="J2062" s="3" t="s">
        <v>26</v>
      </c>
      <c r="K2062" s="3" t="str">
        <f t="shared" si="64"/>
        <v/>
      </c>
      <c r="L2062" s="3" t="str">
        <f>CONCATENATE("11 11.2 4b")</f>
        <v>11 11.2 4b</v>
      </c>
      <c r="M2062" s="3" t="str">
        <f>CONCATENATE("BGGSNT71L44A794S")</f>
        <v>BGGSNT71L44A794S</v>
      </c>
      <c r="N2062" s="3" t="s">
        <v>2044</v>
      </c>
      <c r="O2062" s="3"/>
      <c r="P2062" s="4">
        <v>42783</v>
      </c>
      <c r="Q2062" s="3" t="s">
        <v>27</v>
      </c>
      <c r="R2062" s="3" t="s">
        <v>28</v>
      </c>
      <c r="S2062" s="3" t="s">
        <v>29</v>
      </c>
      <c r="T2062" s="5">
        <v>2514.8000000000002</v>
      </c>
      <c r="U2062" s="5">
        <v>1084.3800000000001</v>
      </c>
      <c r="V2062" s="5">
        <v>1001.39</v>
      </c>
      <c r="W2062" s="3">
        <v>429.03</v>
      </c>
    </row>
    <row r="2063" spans="1:23" ht="60.75">
      <c r="A2063" s="3" t="s">
        <v>23</v>
      </c>
      <c r="B2063" s="3" t="s">
        <v>24</v>
      </c>
      <c r="C2063" s="3" t="s">
        <v>35</v>
      </c>
      <c r="D2063" s="3" t="s">
        <v>39</v>
      </c>
      <c r="E2063" s="3" t="s">
        <v>32</v>
      </c>
      <c r="F2063" s="3" t="s">
        <v>117</v>
      </c>
      <c r="G2063" s="3">
        <v>2016</v>
      </c>
      <c r="H2063" s="3" t="str">
        <f>CONCATENATE("64240410395")</f>
        <v>64240410395</v>
      </c>
      <c r="I2063" s="3" t="s">
        <v>25</v>
      </c>
      <c r="J2063" s="3" t="s">
        <v>26</v>
      </c>
      <c r="K2063" s="3" t="str">
        <f t="shared" si="64"/>
        <v/>
      </c>
      <c r="L2063" s="3" t="str">
        <f>CONCATENATE("11 11.1 4b")</f>
        <v>11 11.1 4b</v>
      </c>
      <c r="M2063" s="3" t="str">
        <f>CONCATENATE("PLZFNC94E30I608O")</f>
        <v>PLZFNC94E30I608O</v>
      </c>
      <c r="N2063" s="3" t="s">
        <v>2045</v>
      </c>
      <c r="O2063" s="3"/>
      <c r="P2063" s="4">
        <v>42783</v>
      </c>
      <c r="Q2063" s="3" t="s">
        <v>27</v>
      </c>
      <c r="R2063" s="3" t="s">
        <v>28</v>
      </c>
      <c r="S2063" s="3" t="s">
        <v>29</v>
      </c>
      <c r="T2063" s="3">
        <v>940.65</v>
      </c>
      <c r="U2063" s="3">
        <v>405.61</v>
      </c>
      <c r="V2063" s="3">
        <v>374.57</v>
      </c>
      <c r="W2063" s="3">
        <v>160.47</v>
      </c>
    </row>
    <row r="2064" spans="1:23" ht="60.75">
      <c r="A2064" s="3" t="s">
        <v>23</v>
      </c>
      <c r="B2064" s="3" t="s">
        <v>24</v>
      </c>
      <c r="C2064" s="3" t="s">
        <v>35</v>
      </c>
      <c r="D2064" s="3" t="s">
        <v>43</v>
      </c>
      <c r="E2064" s="3" t="s">
        <v>30</v>
      </c>
      <c r="F2064" s="3" t="s">
        <v>113</v>
      </c>
      <c r="G2064" s="3">
        <v>2016</v>
      </c>
      <c r="H2064" s="3" t="str">
        <f>CONCATENATE("64210862450")</f>
        <v>64210862450</v>
      </c>
      <c r="I2064" s="3" t="s">
        <v>25</v>
      </c>
      <c r="J2064" s="3" t="s">
        <v>26</v>
      </c>
      <c r="K2064" s="3" t="str">
        <f t="shared" si="64"/>
        <v/>
      </c>
      <c r="L2064" s="3" t="str">
        <f>CONCATENATE("13 13.1 4a")</f>
        <v>13 13.1 4a</v>
      </c>
      <c r="M2064" s="3" t="str">
        <f>CONCATENATE("RMTFST55R10G478J")</f>
        <v>RMTFST55R10G478J</v>
      </c>
      <c r="N2064" s="3" t="s">
        <v>2046</v>
      </c>
      <c r="O2064" s="3"/>
      <c r="P2064" s="4">
        <v>42783</v>
      </c>
      <c r="Q2064" s="3" t="s">
        <v>27</v>
      </c>
      <c r="R2064" s="3" t="s">
        <v>28</v>
      </c>
      <c r="S2064" s="3" t="s">
        <v>29</v>
      </c>
      <c r="T2064" s="5">
        <v>5400</v>
      </c>
      <c r="U2064" s="5">
        <v>2328.48</v>
      </c>
      <c r="V2064" s="5">
        <v>2150.2800000000002</v>
      </c>
      <c r="W2064" s="3">
        <v>921.24</v>
      </c>
    </row>
    <row r="2065" spans="1:23" ht="36.75">
      <c r="A2065" s="3" t="s">
        <v>23</v>
      </c>
      <c r="B2065" s="3" t="s">
        <v>24</v>
      </c>
      <c r="C2065" s="3" t="s">
        <v>35</v>
      </c>
      <c r="D2065" s="3" t="s">
        <v>39</v>
      </c>
      <c r="E2065" s="3" t="s">
        <v>30</v>
      </c>
      <c r="F2065" s="3" t="s">
        <v>84</v>
      </c>
      <c r="G2065" s="3">
        <v>2016</v>
      </c>
      <c r="H2065" s="3" t="str">
        <f>CONCATENATE("64240739801")</f>
        <v>64240739801</v>
      </c>
      <c r="I2065" s="3" t="s">
        <v>25</v>
      </c>
      <c r="J2065" s="3" t="s">
        <v>26</v>
      </c>
      <c r="K2065" s="3" t="str">
        <f t="shared" si="64"/>
        <v/>
      </c>
      <c r="L2065" s="3" t="str">
        <f>CONCATENATE("11 11.1 4b")</f>
        <v>11 11.1 4b</v>
      </c>
      <c r="M2065" s="3" t="str">
        <f>CONCATENATE("02710320421")</f>
        <v>02710320421</v>
      </c>
      <c r="N2065" s="3" t="s">
        <v>1671</v>
      </c>
      <c r="O2065" s="3"/>
      <c r="P2065" s="4">
        <v>42783</v>
      </c>
      <c r="Q2065" s="3" t="s">
        <v>27</v>
      </c>
      <c r="R2065" s="3" t="s">
        <v>28</v>
      </c>
      <c r="S2065" s="3" t="s">
        <v>29</v>
      </c>
      <c r="T2065" s="5">
        <v>1405.13</v>
      </c>
      <c r="U2065" s="3">
        <v>605.89</v>
      </c>
      <c r="V2065" s="3">
        <v>559.52</v>
      </c>
      <c r="W2065" s="3">
        <v>239.72</v>
      </c>
    </row>
    <row r="2066" spans="1:23" ht="60.75">
      <c r="A2066" s="3" t="s">
        <v>23</v>
      </c>
      <c r="B2066" s="3" t="s">
        <v>24</v>
      </c>
      <c r="C2066" s="3" t="s">
        <v>35</v>
      </c>
      <c r="D2066" s="3" t="s">
        <v>36</v>
      </c>
      <c r="E2066" s="3" t="s">
        <v>42</v>
      </c>
      <c r="F2066" s="3" t="s">
        <v>42</v>
      </c>
      <c r="G2066" s="3">
        <v>2016</v>
      </c>
      <c r="H2066" s="3" t="str">
        <f>CONCATENATE("64240703617")</f>
        <v>64240703617</v>
      </c>
      <c r="I2066" s="3" t="s">
        <v>25</v>
      </c>
      <c r="J2066" s="3" t="s">
        <v>26</v>
      </c>
      <c r="K2066" s="3" t="str">
        <f t="shared" ref="K2066:K2129" si="66">CONCATENATE("")</f>
        <v/>
      </c>
      <c r="L2066" s="3" t="str">
        <f>CONCATENATE("11 11.2 4b")</f>
        <v>11 11.2 4b</v>
      </c>
      <c r="M2066" s="3" t="str">
        <f>CONCATENATE("BTTLGU62P27F520J")</f>
        <v>BTTLGU62P27F520J</v>
      </c>
      <c r="N2066" s="3" t="s">
        <v>2047</v>
      </c>
      <c r="O2066" s="3"/>
      <c r="P2066" s="4">
        <v>42783</v>
      </c>
      <c r="Q2066" s="3" t="s">
        <v>27</v>
      </c>
      <c r="R2066" s="3" t="s">
        <v>28</v>
      </c>
      <c r="S2066" s="3" t="s">
        <v>29</v>
      </c>
      <c r="T2066" s="5">
        <v>1606.45</v>
      </c>
      <c r="U2066" s="3">
        <v>692.7</v>
      </c>
      <c r="V2066" s="3">
        <v>639.69000000000005</v>
      </c>
      <c r="W2066" s="3">
        <v>274.06</v>
      </c>
    </row>
    <row r="2067" spans="1:23" ht="60.75">
      <c r="A2067" s="3" t="s">
        <v>23</v>
      </c>
      <c r="B2067" s="3" t="s">
        <v>24</v>
      </c>
      <c r="C2067" s="3" t="s">
        <v>35</v>
      </c>
      <c r="D2067" s="3" t="s">
        <v>43</v>
      </c>
      <c r="E2067" s="3" t="s">
        <v>30</v>
      </c>
      <c r="F2067" s="3" t="s">
        <v>131</v>
      </c>
      <c r="G2067" s="3">
        <v>2016</v>
      </c>
      <c r="H2067" s="3" t="str">
        <f>CONCATENATE("64240262317")</f>
        <v>64240262317</v>
      </c>
      <c r="I2067" s="3" t="s">
        <v>25</v>
      </c>
      <c r="J2067" s="3" t="s">
        <v>26</v>
      </c>
      <c r="K2067" s="3" t="str">
        <f t="shared" si="66"/>
        <v/>
      </c>
      <c r="L2067" s="3" t="str">
        <f>CONCATENATE("11 11.2 4b")</f>
        <v>11 11.2 4b</v>
      </c>
      <c r="M2067" s="3" t="str">
        <f>CONCATENATE("VDVCLD55L19D749R")</f>
        <v>VDVCLD55L19D749R</v>
      </c>
      <c r="N2067" s="3" t="s">
        <v>2048</v>
      </c>
      <c r="O2067" s="3"/>
      <c r="P2067" s="4">
        <v>42783</v>
      </c>
      <c r="Q2067" s="3" t="s">
        <v>27</v>
      </c>
      <c r="R2067" s="3" t="s">
        <v>28</v>
      </c>
      <c r="S2067" s="3" t="s">
        <v>29</v>
      </c>
      <c r="T2067" s="5">
        <v>1439.3</v>
      </c>
      <c r="U2067" s="3">
        <v>620.63</v>
      </c>
      <c r="V2067" s="3">
        <v>573.13</v>
      </c>
      <c r="W2067" s="3">
        <v>245.54</v>
      </c>
    </row>
    <row r="2068" spans="1:23" ht="60.75">
      <c r="A2068" s="3" t="s">
        <v>23</v>
      </c>
      <c r="B2068" s="3" t="s">
        <v>24</v>
      </c>
      <c r="C2068" s="3" t="s">
        <v>35</v>
      </c>
      <c r="D2068" s="3" t="s">
        <v>48</v>
      </c>
      <c r="E2068" s="3" t="s">
        <v>32</v>
      </c>
      <c r="F2068" s="3" t="s">
        <v>129</v>
      </c>
      <c r="G2068" s="3">
        <v>2016</v>
      </c>
      <c r="H2068" s="3" t="str">
        <f>CONCATENATE("64240276465")</f>
        <v>64240276465</v>
      </c>
      <c r="I2068" s="3" t="s">
        <v>25</v>
      </c>
      <c r="J2068" s="3" t="s">
        <v>26</v>
      </c>
      <c r="K2068" s="3" t="str">
        <f t="shared" si="66"/>
        <v/>
      </c>
      <c r="L2068" s="3" t="str">
        <f>CONCATENATE("11 11.1 4b")</f>
        <v>11 11.1 4b</v>
      </c>
      <c r="M2068" s="3" t="str">
        <f>CONCATENATE("MSTLCU84C46L366Q")</f>
        <v>MSTLCU84C46L366Q</v>
      </c>
      <c r="N2068" s="3" t="s">
        <v>2049</v>
      </c>
      <c r="O2068" s="3"/>
      <c r="P2068" s="4">
        <v>42783</v>
      </c>
      <c r="Q2068" s="3" t="s">
        <v>27</v>
      </c>
      <c r="R2068" s="3" t="s">
        <v>28</v>
      </c>
      <c r="S2068" s="3" t="s">
        <v>29</v>
      </c>
      <c r="T2068" s="5">
        <v>1481.99</v>
      </c>
      <c r="U2068" s="3">
        <v>639.03</v>
      </c>
      <c r="V2068" s="3">
        <v>590.13</v>
      </c>
      <c r="W2068" s="3">
        <v>252.83</v>
      </c>
    </row>
    <row r="2069" spans="1:23" ht="60.75">
      <c r="A2069" s="3" t="s">
        <v>23</v>
      </c>
      <c r="B2069" s="3" t="s">
        <v>24</v>
      </c>
      <c r="C2069" s="3" t="s">
        <v>35</v>
      </c>
      <c r="D2069" s="3" t="s">
        <v>36</v>
      </c>
      <c r="E2069" s="3" t="s">
        <v>33</v>
      </c>
      <c r="F2069" s="3" t="s">
        <v>89</v>
      </c>
      <c r="G2069" s="3">
        <v>2016</v>
      </c>
      <c r="H2069" s="3" t="str">
        <f>CONCATENATE("64210898454")</f>
        <v>64210898454</v>
      </c>
      <c r="I2069" s="3" t="s">
        <v>25</v>
      </c>
      <c r="J2069" s="3" t="s">
        <v>26</v>
      </c>
      <c r="K2069" s="3" t="str">
        <f t="shared" si="66"/>
        <v/>
      </c>
      <c r="L2069" s="3" t="str">
        <f>CONCATENATE("13 13.1 4a")</f>
        <v>13 13.1 4a</v>
      </c>
      <c r="M2069" s="3" t="str">
        <f>CONCATENATE("FRRGPP68L14Z112A")</f>
        <v>FRRGPP68L14Z112A</v>
      </c>
      <c r="N2069" s="3" t="s">
        <v>2050</v>
      </c>
      <c r="O2069" s="3"/>
      <c r="P2069" s="4">
        <v>42783</v>
      </c>
      <c r="Q2069" s="3" t="s">
        <v>27</v>
      </c>
      <c r="R2069" s="3" t="s">
        <v>28</v>
      </c>
      <c r="S2069" s="3" t="s">
        <v>29</v>
      </c>
      <c r="T2069" s="3">
        <v>442.46</v>
      </c>
      <c r="U2069" s="3">
        <v>190.79</v>
      </c>
      <c r="V2069" s="3">
        <v>176.19</v>
      </c>
      <c r="W2069" s="3">
        <v>75.48</v>
      </c>
    </row>
    <row r="2070" spans="1:23" ht="72.75">
      <c r="A2070" s="3" t="s">
        <v>23</v>
      </c>
      <c r="B2070" s="3" t="s">
        <v>24</v>
      </c>
      <c r="C2070" s="3" t="s">
        <v>35</v>
      </c>
      <c r="D2070" s="3" t="s">
        <v>36</v>
      </c>
      <c r="E2070" s="3" t="s">
        <v>30</v>
      </c>
      <c r="F2070" s="3" t="s">
        <v>53</v>
      </c>
      <c r="G2070" s="3">
        <v>2016</v>
      </c>
      <c r="H2070" s="3" t="str">
        <f>CONCATENATE("64240697215")</f>
        <v>64240697215</v>
      </c>
      <c r="I2070" s="3" t="s">
        <v>25</v>
      </c>
      <c r="J2070" s="3" t="s">
        <v>26</v>
      </c>
      <c r="K2070" s="3" t="str">
        <f t="shared" si="66"/>
        <v/>
      </c>
      <c r="L2070" s="3" t="str">
        <f>CONCATENATE("11 11.1 4b")</f>
        <v>11 11.1 4b</v>
      </c>
      <c r="M2070" s="3" t="str">
        <f>CONCATENATE("LRNSVN54A15H321A")</f>
        <v>LRNSVN54A15H321A</v>
      </c>
      <c r="N2070" s="3" t="s">
        <v>2051</v>
      </c>
      <c r="O2070" s="3"/>
      <c r="P2070" s="4">
        <v>42783</v>
      </c>
      <c r="Q2070" s="3" t="s">
        <v>27</v>
      </c>
      <c r="R2070" s="3" t="s">
        <v>28</v>
      </c>
      <c r="S2070" s="3" t="s">
        <v>29</v>
      </c>
      <c r="T2070" s="5">
        <v>6221.62</v>
      </c>
      <c r="U2070" s="5">
        <v>2682.76</v>
      </c>
      <c r="V2070" s="5">
        <v>2477.4499999999998</v>
      </c>
      <c r="W2070" s="5">
        <v>1061.4100000000001</v>
      </c>
    </row>
    <row r="2071" spans="1:23" ht="60.75">
      <c r="A2071" s="3" t="s">
        <v>23</v>
      </c>
      <c r="B2071" s="3" t="s">
        <v>24</v>
      </c>
      <c r="C2071" s="3" t="s">
        <v>35</v>
      </c>
      <c r="D2071" s="3" t="s">
        <v>48</v>
      </c>
      <c r="E2071" s="3" t="s">
        <v>30</v>
      </c>
      <c r="F2071" s="3" t="s">
        <v>91</v>
      </c>
      <c r="G2071" s="3">
        <v>2016</v>
      </c>
      <c r="H2071" s="3" t="str">
        <f>CONCATENATE("64210526717")</f>
        <v>64210526717</v>
      </c>
      <c r="I2071" s="3" t="s">
        <v>25</v>
      </c>
      <c r="J2071" s="3" t="s">
        <v>26</v>
      </c>
      <c r="K2071" s="3" t="str">
        <f t="shared" si="66"/>
        <v/>
      </c>
      <c r="L2071" s="3" t="str">
        <f>CONCATENATE("13 13.1 4a")</f>
        <v>13 13.1 4a</v>
      </c>
      <c r="M2071" s="3" t="str">
        <f>CONCATENATE("PNNGLI47B04G657S")</f>
        <v>PNNGLI47B04G657S</v>
      </c>
      <c r="N2071" s="3" t="s">
        <v>2052</v>
      </c>
      <c r="O2071" s="3"/>
      <c r="P2071" s="4">
        <v>42783</v>
      </c>
      <c r="Q2071" s="3" t="s">
        <v>27</v>
      </c>
      <c r="R2071" s="3" t="s">
        <v>28</v>
      </c>
      <c r="S2071" s="3" t="s">
        <v>29</v>
      </c>
      <c r="T2071" s="5">
        <v>1506.74</v>
      </c>
      <c r="U2071" s="3">
        <v>649.71</v>
      </c>
      <c r="V2071" s="3">
        <v>599.98</v>
      </c>
      <c r="W2071" s="3">
        <v>257.05</v>
      </c>
    </row>
    <row r="2072" spans="1:23" ht="60.75">
      <c r="A2072" s="3" t="s">
        <v>23</v>
      </c>
      <c r="B2072" s="3" t="s">
        <v>24</v>
      </c>
      <c r="C2072" s="3" t="s">
        <v>35</v>
      </c>
      <c r="D2072" s="3" t="s">
        <v>48</v>
      </c>
      <c r="E2072" s="3" t="s">
        <v>34</v>
      </c>
      <c r="F2072" s="3" t="s">
        <v>141</v>
      </c>
      <c r="G2072" s="3">
        <v>2016</v>
      </c>
      <c r="H2072" s="3" t="str">
        <f>CONCATENATE("64240354866")</f>
        <v>64240354866</v>
      </c>
      <c r="I2072" s="3" t="s">
        <v>25</v>
      </c>
      <c r="J2072" s="3" t="s">
        <v>26</v>
      </c>
      <c r="K2072" s="3" t="str">
        <f t="shared" si="66"/>
        <v/>
      </c>
      <c r="L2072" s="3" t="str">
        <f>CONCATENATE("11 11.2 4b")</f>
        <v>11 11.2 4b</v>
      </c>
      <c r="M2072" s="3" t="str">
        <f>CONCATENATE("VRDFNC56D30I286X")</f>
        <v>VRDFNC56D30I286X</v>
      </c>
      <c r="N2072" s="3" t="s">
        <v>2053</v>
      </c>
      <c r="O2072" s="3"/>
      <c r="P2072" s="4">
        <v>42783</v>
      </c>
      <c r="Q2072" s="3" t="s">
        <v>27</v>
      </c>
      <c r="R2072" s="3" t="s">
        <v>28</v>
      </c>
      <c r="S2072" s="3" t="s">
        <v>29</v>
      </c>
      <c r="T2072" s="5">
        <v>11801.76</v>
      </c>
      <c r="U2072" s="5">
        <v>5088.92</v>
      </c>
      <c r="V2072" s="5">
        <v>4699.46</v>
      </c>
      <c r="W2072" s="5">
        <v>2013.38</v>
      </c>
    </row>
    <row r="2073" spans="1:23" ht="60.75">
      <c r="A2073" s="3" t="s">
        <v>23</v>
      </c>
      <c r="B2073" s="3" t="s">
        <v>24</v>
      </c>
      <c r="C2073" s="3" t="s">
        <v>35</v>
      </c>
      <c r="D2073" s="3" t="s">
        <v>36</v>
      </c>
      <c r="E2073" s="3" t="s">
        <v>34</v>
      </c>
      <c r="F2073" s="3" t="s">
        <v>273</v>
      </c>
      <c r="G2073" s="3">
        <v>2016</v>
      </c>
      <c r="H2073" s="3" t="str">
        <f>CONCATENATE("64240625430")</f>
        <v>64240625430</v>
      </c>
      <c r="I2073" s="3" t="s">
        <v>25</v>
      </c>
      <c r="J2073" s="3" t="s">
        <v>26</v>
      </c>
      <c r="K2073" s="3" t="str">
        <f t="shared" si="66"/>
        <v/>
      </c>
      <c r="L2073" s="3" t="str">
        <f>CONCATENATE("10 10.1 4b")</f>
        <v>10 10.1 4b</v>
      </c>
      <c r="M2073" s="3" t="str">
        <f>CONCATENATE("SCNGNN59M12G137P")</f>
        <v>SCNGNN59M12G137P</v>
      </c>
      <c r="N2073" s="3" t="s">
        <v>2054</v>
      </c>
      <c r="O2073" s="3"/>
      <c r="P2073" s="4">
        <v>42783</v>
      </c>
      <c r="Q2073" s="3" t="s">
        <v>27</v>
      </c>
      <c r="R2073" s="3" t="s">
        <v>28</v>
      </c>
      <c r="S2073" s="3" t="s">
        <v>29</v>
      </c>
      <c r="T2073" s="5">
        <v>3719.37</v>
      </c>
      <c r="U2073" s="5">
        <v>1603.79</v>
      </c>
      <c r="V2073" s="5">
        <v>1481.05</v>
      </c>
      <c r="W2073" s="3">
        <v>634.53</v>
      </c>
    </row>
    <row r="2074" spans="1:23" ht="60.75">
      <c r="A2074" s="3" t="s">
        <v>23</v>
      </c>
      <c r="B2074" s="3" t="s">
        <v>24</v>
      </c>
      <c r="C2074" s="3" t="s">
        <v>35</v>
      </c>
      <c r="D2074" s="3" t="s">
        <v>43</v>
      </c>
      <c r="E2074" s="3" t="s">
        <v>49</v>
      </c>
      <c r="F2074" s="3" t="s">
        <v>276</v>
      </c>
      <c r="G2074" s="3">
        <v>2016</v>
      </c>
      <c r="H2074" s="3" t="str">
        <f>CONCATENATE("64240672564")</f>
        <v>64240672564</v>
      </c>
      <c r="I2074" s="3" t="s">
        <v>25</v>
      </c>
      <c r="J2074" s="3" t="s">
        <v>26</v>
      </c>
      <c r="K2074" s="3" t="str">
        <f t="shared" si="66"/>
        <v/>
      </c>
      <c r="L2074" s="3" t="str">
        <f>CONCATENATE("11 11.2 4b")</f>
        <v>11 11.2 4b</v>
      </c>
      <c r="M2074" s="3" t="str">
        <f>CONCATENATE("MLSPTR92R24I459Q")</f>
        <v>MLSPTR92R24I459Q</v>
      </c>
      <c r="N2074" s="3" t="s">
        <v>2055</v>
      </c>
      <c r="O2074" s="3"/>
      <c r="P2074" s="4">
        <v>42783</v>
      </c>
      <c r="Q2074" s="3" t="s">
        <v>27</v>
      </c>
      <c r="R2074" s="3" t="s">
        <v>28</v>
      </c>
      <c r="S2074" s="3" t="s">
        <v>29</v>
      </c>
      <c r="T2074" s="5">
        <v>4997.7</v>
      </c>
      <c r="U2074" s="5">
        <v>2155.0100000000002</v>
      </c>
      <c r="V2074" s="5">
        <v>1990.08</v>
      </c>
      <c r="W2074" s="3">
        <v>852.61</v>
      </c>
    </row>
    <row r="2075" spans="1:23" ht="36.75">
      <c r="A2075" s="3" t="s">
        <v>23</v>
      </c>
      <c r="B2075" s="3" t="s">
        <v>24</v>
      </c>
      <c r="C2075" s="3" t="s">
        <v>35</v>
      </c>
      <c r="D2075" s="3" t="s">
        <v>43</v>
      </c>
      <c r="E2075" s="3" t="s">
        <v>34</v>
      </c>
      <c r="F2075" s="3" t="s">
        <v>146</v>
      </c>
      <c r="G2075" s="3">
        <v>2016</v>
      </c>
      <c r="H2075" s="3" t="str">
        <f>CONCATENATE("64240477949")</f>
        <v>64240477949</v>
      </c>
      <c r="I2075" s="3" t="s">
        <v>25</v>
      </c>
      <c r="J2075" s="3" t="s">
        <v>26</v>
      </c>
      <c r="K2075" s="3" t="str">
        <f t="shared" si="66"/>
        <v/>
      </c>
      <c r="L2075" s="3" t="str">
        <f>CONCATENATE("11 11.2 4b")</f>
        <v>11 11.2 4b</v>
      </c>
      <c r="M2075" s="3" t="str">
        <f>CONCATENATE("02337210419")</f>
        <v>02337210419</v>
      </c>
      <c r="N2075" s="3" t="s">
        <v>2056</v>
      </c>
      <c r="O2075" s="3"/>
      <c r="P2075" s="4">
        <v>42783</v>
      </c>
      <c r="Q2075" s="3" t="s">
        <v>27</v>
      </c>
      <c r="R2075" s="3" t="s">
        <v>28</v>
      </c>
      <c r="S2075" s="3" t="s">
        <v>29</v>
      </c>
      <c r="T2075" s="5">
        <v>7077.49</v>
      </c>
      <c r="U2075" s="5">
        <v>3051.81</v>
      </c>
      <c r="V2075" s="5">
        <v>2818.26</v>
      </c>
      <c r="W2075" s="5">
        <v>1207.42</v>
      </c>
    </row>
    <row r="2076" spans="1:23" ht="72.75">
      <c r="A2076" s="3" t="s">
        <v>23</v>
      </c>
      <c r="B2076" s="3" t="s">
        <v>24</v>
      </c>
      <c r="C2076" s="3" t="s">
        <v>35</v>
      </c>
      <c r="D2076" s="3" t="s">
        <v>36</v>
      </c>
      <c r="E2076" s="3" t="s">
        <v>33</v>
      </c>
      <c r="F2076" s="3" t="s">
        <v>89</v>
      </c>
      <c r="G2076" s="3">
        <v>2016</v>
      </c>
      <c r="H2076" s="3" t="str">
        <f>CONCATENATE("64240467619")</f>
        <v>64240467619</v>
      </c>
      <c r="I2076" s="3" t="s">
        <v>25</v>
      </c>
      <c r="J2076" s="3" t="s">
        <v>26</v>
      </c>
      <c r="K2076" s="3" t="str">
        <f t="shared" si="66"/>
        <v/>
      </c>
      <c r="L2076" s="3" t="str">
        <f>CONCATENATE("11 11.2 4b")</f>
        <v>11 11.2 4b</v>
      </c>
      <c r="M2076" s="3" t="str">
        <f>CONCATENATE("TRBGLN69A19A252M")</f>
        <v>TRBGLN69A19A252M</v>
      </c>
      <c r="N2076" s="3" t="s">
        <v>2057</v>
      </c>
      <c r="O2076" s="3"/>
      <c r="P2076" s="4">
        <v>42783</v>
      </c>
      <c r="Q2076" s="3" t="s">
        <v>27</v>
      </c>
      <c r="R2076" s="3" t="s">
        <v>28</v>
      </c>
      <c r="S2076" s="3" t="s">
        <v>29</v>
      </c>
      <c r="T2076" s="5">
        <v>1974.12</v>
      </c>
      <c r="U2076" s="3">
        <v>851.24</v>
      </c>
      <c r="V2076" s="3">
        <v>786.09</v>
      </c>
      <c r="W2076" s="3">
        <v>336.79</v>
      </c>
    </row>
    <row r="2077" spans="1:23" ht="60.75">
      <c r="A2077" s="3" t="s">
        <v>23</v>
      </c>
      <c r="B2077" s="3" t="s">
        <v>24</v>
      </c>
      <c r="C2077" s="3" t="s">
        <v>35</v>
      </c>
      <c r="D2077" s="3" t="s">
        <v>36</v>
      </c>
      <c r="E2077" s="3" t="s">
        <v>30</v>
      </c>
      <c r="F2077" s="3" t="s">
        <v>37</v>
      </c>
      <c r="G2077" s="3">
        <v>2016</v>
      </c>
      <c r="H2077" s="3" t="str">
        <f>CONCATENATE("64210739138")</f>
        <v>64210739138</v>
      </c>
      <c r="I2077" s="3" t="s">
        <v>25</v>
      </c>
      <c r="J2077" s="3" t="s">
        <v>26</v>
      </c>
      <c r="K2077" s="3" t="str">
        <f t="shared" si="66"/>
        <v/>
      </c>
      <c r="L2077" s="3" t="str">
        <f>CONCATENATE("13 13.1 4a")</f>
        <v>13 13.1 4a</v>
      </c>
      <c r="M2077" s="3" t="str">
        <f>CONCATENATE("NGLMRT41L10H588C")</f>
        <v>NGLMRT41L10H588C</v>
      </c>
      <c r="N2077" s="3" t="s">
        <v>2058</v>
      </c>
      <c r="O2077" s="3"/>
      <c r="P2077" s="4">
        <v>42783</v>
      </c>
      <c r="Q2077" s="3" t="s">
        <v>27</v>
      </c>
      <c r="R2077" s="3" t="s">
        <v>28</v>
      </c>
      <c r="S2077" s="3" t="s">
        <v>29</v>
      </c>
      <c r="T2077" s="5">
        <v>1348.44</v>
      </c>
      <c r="U2077" s="3">
        <v>581.45000000000005</v>
      </c>
      <c r="V2077" s="3">
        <v>536.95000000000005</v>
      </c>
      <c r="W2077" s="3">
        <v>230.04</v>
      </c>
    </row>
    <row r="2078" spans="1:23" ht="60.75">
      <c r="A2078" s="3" t="s">
        <v>23</v>
      </c>
      <c r="B2078" s="3" t="s">
        <v>24</v>
      </c>
      <c r="C2078" s="3" t="s">
        <v>35</v>
      </c>
      <c r="D2078" s="3" t="s">
        <v>39</v>
      </c>
      <c r="E2078" s="3" t="s">
        <v>30</v>
      </c>
      <c r="F2078" s="3" t="s">
        <v>40</v>
      </c>
      <c r="G2078" s="3">
        <v>2016</v>
      </c>
      <c r="H2078" s="3" t="str">
        <f>CONCATENATE("64240530291")</f>
        <v>64240530291</v>
      </c>
      <c r="I2078" s="3" t="s">
        <v>25</v>
      </c>
      <c r="J2078" s="3" t="s">
        <v>26</v>
      </c>
      <c r="K2078" s="3" t="str">
        <f t="shared" si="66"/>
        <v/>
      </c>
      <c r="L2078" s="3" t="str">
        <f>CONCATENATE("11 11.2 4b")</f>
        <v>11 11.2 4b</v>
      </c>
      <c r="M2078" s="3" t="str">
        <f>CONCATENATE("VNCCRN82E45E388G")</f>
        <v>VNCCRN82E45E388G</v>
      </c>
      <c r="N2078" s="3" t="s">
        <v>2059</v>
      </c>
      <c r="O2078" s="3"/>
      <c r="P2078" s="4">
        <v>42783</v>
      </c>
      <c r="Q2078" s="3" t="s">
        <v>27</v>
      </c>
      <c r="R2078" s="3" t="s">
        <v>28</v>
      </c>
      <c r="S2078" s="3" t="s">
        <v>29</v>
      </c>
      <c r="T2078" s="5">
        <v>1337.99</v>
      </c>
      <c r="U2078" s="3">
        <v>576.94000000000005</v>
      </c>
      <c r="V2078" s="3">
        <v>532.79</v>
      </c>
      <c r="W2078" s="3">
        <v>228.26</v>
      </c>
    </row>
    <row r="2079" spans="1:23" ht="60.75">
      <c r="A2079" s="3" t="s">
        <v>23</v>
      </c>
      <c r="B2079" s="3" t="s">
        <v>24</v>
      </c>
      <c r="C2079" s="3" t="s">
        <v>35</v>
      </c>
      <c r="D2079" s="3" t="s">
        <v>48</v>
      </c>
      <c r="E2079" s="3" t="s">
        <v>30</v>
      </c>
      <c r="F2079" s="3" t="s">
        <v>157</v>
      </c>
      <c r="G2079" s="3">
        <v>2016</v>
      </c>
      <c r="H2079" s="3" t="str">
        <f>CONCATENATE("64240373502")</f>
        <v>64240373502</v>
      </c>
      <c r="I2079" s="3" t="s">
        <v>25</v>
      </c>
      <c r="J2079" s="3" t="s">
        <v>26</v>
      </c>
      <c r="K2079" s="3" t="str">
        <f t="shared" si="66"/>
        <v/>
      </c>
      <c r="L2079" s="3" t="str">
        <f>CONCATENATE("11 11.2 4b")</f>
        <v>11 11.2 4b</v>
      </c>
      <c r="M2079" s="3" t="str">
        <f>CONCATENATE("MRLMCL72B12I436X")</f>
        <v>MRLMCL72B12I436X</v>
      </c>
      <c r="N2079" s="3" t="s">
        <v>2060</v>
      </c>
      <c r="O2079" s="3"/>
      <c r="P2079" s="4">
        <v>42783</v>
      </c>
      <c r="Q2079" s="3" t="s">
        <v>27</v>
      </c>
      <c r="R2079" s="3" t="s">
        <v>28</v>
      </c>
      <c r="S2079" s="3" t="s">
        <v>29</v>
      </c>
      <c r="T2079" s="5">
        <v>6098.09</v>
      </c>
      <c r="U2079" s="5">
        <v>2629.5</v>
      </c>
      <c r="V2079" s="5">
        <v>2428.2600000000002</v>
      </c>
      <c r="W2079" s="5">
        <v>1040.33</v>
      </c>
    </row>
    <row r="2080" spans="1:23" ht="36.75">
      <c r="A2080" s="3" t="s">
        <v>23</v>
      </c>
      <c r="B2080" s="3" t="s">
        <v>24</v>
      </c>
      <c r="C2080" s="3" t="s">
        <v>35</v>
      </c>
      <c r="D2080" s="3" t="s">
        <v>36</v>
      </c>
      <c r="E2080" s="3" t="s">
        <v>42</v>
      </c>
      <c r="F2080" s="3" t="s">
        <v>42</v>
      </c>
      <c r="G2080" s="3">
        <v>2016</v>
      </c>
      <c r="H2080" s="3" t="str">
        <f>CONCATENATE("64240074761")</f>
        <v>64240074761</v>
      </c>
      <c r="I2080" s="3" t="s">
        <v>25</v>
      </c>
      <c r="J2080" s="3" t="s">
        <v>26</v>
      </c>
      <c r="K2080" s="3" t="str">
        <f t="shared" si="66"/>
        <v/>
      </c>
      <c r="L2080" s="3" t="str">
        <f>CONCATENATE("11 11.2 4b")</f>
        <v>11 11.2 4b</v>
      </c>
      <c r="M2080" s="3" t="str">
        <f>CONCATENATE("01005070444")</f>
        <v>01005070444</v>
      </c>
      <c r="N2080" s="3" t="s">
        <v>2061</v>
      </c>
      <c r="O2080" s="3"/>
      <c r="P2080" s="4">
        <v>42783</v>
      </c>
      <c r="Q2080" s="3" t="s">
        <v>27</v>
      </c>
      <c r="R2080" s="3" t="s">
        <v>28</v>
      </c>
      <c r="S2080" s="3" t="s">
        <v>29</v>
      </c>
      <c r="T2080" s="5">
        <v>6556.2</v>
      </c>
      <c r="U2080" s="5">
        <v>2827.03</v>
      </c>
      <c r="V2080" s="5">
        <v>2610.6799999999998</v>
      </c>
      <c r="W2080" s="5">
        <v>1118.49</v>
      </c>
    </row>
    <row r="2081" spans="1:23" ht="60.75">
      <c r="A2081" s="3" t="s">
        <v>23</v>
      </c>
      <c r="B2081" s="3" t="s">
        <v>24</v>
      </c>
      <c r="C2081" s="3" t="s">
        <v>35</v>
      </c>
      <c r="D2081" s="3" t="s">
        <v>36</v>
      </c>
      <c r="E2081" s="3" t="s">
        <v>33</v>
      </c>
      <c r="F2081" s="3" t="s">
        <v>192</v>
      </c>
      <c r="G2081" s="3">
        <v>2016</v>
      </c>
      <c r="H2081" s="3" t="str">
        <f>CONCATENATE("64240259594")</f>
        <v>64240259594</v>
      </c>
      <c r="I2081" s="3" t="s">
        <v>25</v>
      </c>
      <c r="J2081" s="3" t="s">
        <v>26</v>
      </c>
      <c r="K2081" s="3" t="str">
        <f t="shared" si="66"/>
        <v/>
      </c>
      <c r="L2081" s="3" t="str">
        <f>CONCATENATE("11 11.2 4b")</f>
        <v>11 11.2 4b</v>
      </c>
      <c r="M2081" s="3" t="str">
        <f>CONCATENATE("CCCGRL60E25H588T")</f>
        <v>CCCGRL60E25H588T</v>
      </c>
      <c r="N2081" s="3" t="s">
        <v>2062</v>
      </c>
      <c r="O2081" s="3"/>
      <c r="P2081" s="4">
        <v>42783</v>
      </c>
      <c r="Q2081" s="3" t="s">
        <v>27</v>
      </c>
      <c r="R2081" s="3" t="s">
        <v>28</v>
      </c>
      <c r="S2081" s="3" t="s">
        <v>29</v>
      </c>
      <c r="T2081" s="5">
        <v>4591.74</v>
      </c>
      <c r="U2081" s="5">
        <v>1979.96</v>
      </c>
      <c r="V2081" s="5">
        <v>1828.43</v>
      </c>
      <c r="W2081" s="3">
        <v>783.35</v>
      </c>
    </row>
    <row r="2082" spans="1:23" ht="72.75">
      <c r="A2082" s="3" t="s">
        <v>23</v>
      </c>
      <c r="B2082" s="3" t="s">
        <v>24</v>
      </c>
      <c r="C2082" s="3" t="s">
        <v>35</v>
      </c>
      <c r="D2082" s="3" t="s">
        <v>43</v>
      </c>
      <c r="E2082" s="3" t="s">
        <v>32</v>
      </c>
      <c r="F2082" s="3" t="s">
        <v>44</v>
      </c>
      <c r="G2082" s="3">
        <v>2016</v>
      </c>
      <c r="H2082" s="3" t="str">
        <f>CONCATENATE("64240367322")</f>
        <v>64240367322</v>
      </c>
      <c r="I2082" s="3" t="s">
        <v>25</v>
      </c>
      <c r="J2082" s="3" t="s">
        <v>26</v>
      </c>
      <c r="K2082" s="3" t="str">
        <f t="shared" si="66"/>
        <v/>
      </c>
      <c r="L2082" s="3" t="str">
        <f>CONCATENATE("11 11.2 4b")</f>
        <v>11 11.2 4b</v>
      </c>
      <c r="M2082" s="3" t="str">
        <f>CONCATENATE("CCCMSM55A24D749T")</f>
        <v>CCCMSM55A24D749T</v>
      </c>
      <c r="N2082" s="3" t="s">
        <v>2063</v>
      </c>
      <c r="O2082" s="3"/>
      <c r="P2082" s="4">
        <v>42783</v>
      </c>
      <c r="Q2082" s="3" t="s">
        <v>27</v>
      </c>
      <c r="R2082" s="3" t="s">
        <v>28</v>
      </c>
      <c r="S2082" s="3" t="s">
        <v>29</v>
      </c>
      <c r="T2082" s="5">
        <v>1699.28</v>
      </c>
      <c r="U2082" s="3">
        <v>732.73</v>
      </c>
      <c r="V2082" s="3">
        <v>676.65</v>
      </c>
      <c r="W2082" s="3">
        <v>289.89999999999998</v>
      </c>
    </row>
    <row r="2083" spans="1:23" ht="60.75">
      <c r="A2083" s="3" t="s">
        <v>23</v>
      </c>
      <c r="B2083" s="3" t="s">
        <v>24</v>
      </c>
      <c r="C2083" s="3" t="s">
        <v>35</v>
      </c>
      <c r="D2083" s="3" t="s">
        <v>39</v>
      </c>
      <c r="E2083" s="3" t="s">
        <v>30</v>
      </c>
      <c r="F2083" s="3" t="s">
        <v>84</v>
      </c>
      <c r="G2083" s="3">
        <v>2016</v>
      </c>
      <c r="H2083" s="3" t="str">
        <f>CONCATENATE("64210932097")</f>
        <v>64210932097</v>
      </c>
      <c r="I2083" s="3" t="s">
        <v>25</v>
      </c>
      <c r="J2083" s="3" t="s">
        <v>26</v>
      </c>
      <c r="K2083" s="3" t="str">
        <f t="shared" si="66"/>
        <v/>
      </c>
      <c r="L2083" s="3" t="str">
        <f>CONCATENATE("13 13.1 4a")</f>
        <v>13 13.1 4a</v>
      </c>
      <c r="M2083" s="3" t="str">
        <f>CONCATENATE("LNRRNG48L58I461G")</f>
        <v>LNRRNG48L58I461G</v>
      </c>
      <c r="N2083" s="3" t="s">
        <v>838</v>
      </c>
      <c r="O2083" s="3"/>
      <c r="P2083" s="4">
        <v>42783</v>
      </c>
      <c r="Q2083" s="3" t="s">
        <v>27</v>
      </c>
      <c r="R2083" s="3" t="s">
        <v>28</v>
      </c>
      <c r="S2083" s="3" t="s">
        <v>29</v>
      </c>
      <c r="T2083" s="5">
        <v>3159.54</v>
      </c>
      <c r="U2083" s="5">
        <v>1362.39</v>
      </c>
      <c r="V2083" s="5">
        <v>1258.1300000000001</v>
      </c>
      <c r="W2083" s="3">
        <v>539.02</v>
      </c>
    </row>
    <row r="2084" spans="1:23" ht="60.75">
      <c r="A2084" s="3" t="s">
        <v>23</v>
      </c>
      <c r="B2084" s="3" t="s">
        <v>24</v>
      </c>
      <c r="C2084" s="3" t="s">
        <v>35</v>
      </c>
      <c r="D2084" s="3" t="s">
        <v>36</v>
      </c>
      <c r="E2084" s="3" t="s">
        <v>33</v>
      </c>
      <c r="F2084" s="3" t="s">
        <v>192</v>
      </c>
      <c r="G2084" s="3">
        <v>2016</v>
      </c>
      <c r="H2084" s="3" t="str">
        <f>CONCATENATE("64240390688")</f>
        <v>64240390688</v>
      </c>
      <c r="I2084" s="3" t="s">
        <v>25</v>
      </c>
      <c r="J2084" s="3" t="s">
        <v>26</v>
      </c>
      <c r="K2084" s="3" t="str">
        <f t="shared" si="66"/>
        <v/>
      </c>
      <c r="L2084" s="3" t="str">
        <f>CONCATENATE("11 11.2 4b")</f>
        <v>11 11.2 4b</v>
      </c>
      <c r="M2084" s="3" t="str">
        <f>CONCATENATE("PGGDNT43M20G005P")</f>
        <v>PGGDNT43M20G005P</v>
      </c>
      <c r="N2084" s="3" t="s">
        <v>2064</v>
      </c>
      <c r="O2084" s="3"/>
      <c r="P2084" s="4">
        <v>42783</v>
      </c>
      <c r="Q2084" s="3" t="s">
        <v>27</v>
      </c>
      <c r="R2084" s="3" t="s">
        <v>28</v>
      </c>
      <c r="S2084" s="3" t="s">
        <v>29</v>
      </c>
      <c r="T2084" s="5">
        <v>1549.02</v>
      </c>
      <c r="U2084" s="3">
        <v>667.94</v>
      </c>
      <c r="V2084" s="3">
        <v>616.82000000000005</v>
      </c>
      <c r="W2084" s="3">
        <v>264.26</v>
      </c>
    </row>
    <row r="2085" spans="1:23" ht="72.75">
      <c r="A2085" s="3" t="s">
        <v>23</v>
      </c>
      <c r="B2085" s="3" t="s">
        <v>24</v>
      </c>
      <c r="C2085" s="3" t="s">
        <v>35</v>
      </c>
      <c r="D2085" s="3" t="s">
        <v>36</v>
      </c>
      <c r="E2085" s="3" t="s">
        <v>30</v>
      </c>
      <c r="F2085" s="3" t="s">
        <v>37</v>
      </c>
      <c r="G2085" s="3">
        <v>2016</v>
      </c>
      <c r="H2085" s="3" t="str">
        <f>CONCATENATE("64210279127")</f>
        <v>64210279127</v>
      </c>
      <c r="I2085" s="3" t="s">
        <v>25</v>
      </c>
      <c r="J2085" s="3" t="s">
        <v>26</v>
      </c>
      <c r="K2085" s="3" t="str">
        <f t="shared" si="66"/>
        <v/>
      </c>
      <c r="L2085" s="3" t="str">
        <f>CONCATENATE("13 13.1 4a")</f>
        <v>13 13.1 4a</v>
      </c>
      <c r="M2085" s="3" t="str">
        <f>CONCATENATE("VTLMSM70H06A252D")</f>
        <v>VTLMSM70H06A252D</v>
      </c>
      <c r="N2085" s="3" t="s">
        <v>2065</v>
      </c>
      <c r="O2085" s="3"/>
      <c r="P2085" s="4">
        <v>42783</v>
      </c>
      <c r="Q2085" s="3" t="s">
        <v>27</v>
      </c>
      <c r="R2085" s="3" t="s">
        <v>28</v>
      </c>
      <c r="S2085" s="3" t="s">
        <v>29</v>
      </c>
      <c r="T2085" s="5">
        <v>2130.41</v>
      </c>
      <c r="U2085" s="3">
        <v>918.63</v>
      </c>
      <c r="V2085" s="3">
        <v>848.33</v>
      </c>
      <c r="W2085" s="3">
        <v>363.45</v>
      </c>
    </row>
    <row r="2086" spans="1:23" ht="60.75">
      <c r="A2086" s="3" t="s">
        <v>23</v>
      </c>
      <c r="B2086" s="3" t="s">
        <v>24</v>
      </c>
      <c r="C2086" s="3" t="s">
        <v>35</v>
      </c>
      <c r="D2086" s="3" t="s">
        <v>36</v>
      </c>
      <c r="E2086" s="3" t="s">
        <v>30</v>
      </c>
      <c r="F2086" s="3" t="s">
        <v>37</v>
      </c>
      <c r="G2086" s="3">
        <v>2016</v>
      </c>
      <c r="H2086" s="3" t="str">
        <f>CONCATENATE("64240630703")</f>
        <v>64240630703</v>
      </c>
      <c r="I2086" s="3" t="s">
        <v>25</v>
      </c>
      <c r="J2086" s="3" t="s">
        <v>26</v>
      </c>
      <c r="K2086" s="3" t="str">
        <f t="shared" si="66"/>
        <v/>
      </c>
      <c r="L2086" s="3" t="str">
        <f>CONCATENATE("11 11.1 4b")</f>
        <v>11 11.1 4b</v>
      </c>
      <c r="M2086" s="3" t="str">
        <f>CONCATENATE("SPCGNN41A28F415B")</f>
        <v>SPCGNN41A28F415B</v>
      </c>
      <c r="N2086" s="3" t="s">
        <v>2066</v>
      </c>
      <c r="O2086" s="3"/>
      <c r="P2086" s="4">
        <v>42783</v>
      </c>
      <c r="Q2086" s="3" t="s">
        <v>27</v>
      </c>
      <c r="R2086" s="3" t="s">
        <v>28</v>
      </c>
      <c r="S2086" s="3" t="s">
        <v>29</v>
      </c>
      <c r="T2086" s="5">
        <v>7367.66</v>
      </c>
      <c r="U2086" s="5">
        <v>3176.93</v>
      </c>
      <c r="V2086" s="5">
        <v>2933.8</v>
      </c>
      <c r="W2086" s="5">
        <v>1256.93</v>
      </c>
    </row>
    <row r="2087" spans="1:23" ht="60.75">
      <c r="A2087" s="3" t="s">
        <v>23</v>
      </c>
      <c r="B2087" s="3" t="s">
        <v>24</v>
      </c>
      <c r="C2087" s="3" t="s">
        <v>35</v>
      </c>
      <c r="D2087" s="3" t="s">
        <v>48</v>
      </c>
      <c r="E2087" s="3" t="s">
        <v>30</v>
      </c>
      <c r="F2087" s="3" t="s">
        <v>91</v>
      </c>
      <c r="G2087" s="3">
        <v>2016</v>
      </c>
      <c r="H2087" s="3" t="str">
        <f>CONCATENATE("64240312682")</f>
        <v>64240312682</v>
      </c>
      <c r="I2087" s="3" t="s">
        <v>25</v>
      </c>
      <c r="J2087" s="3" t="s">
        <v>26</v>
      </c>
      <c r="K2087" s="3" t="str">
        <f t="shared" si="66"/>
        <v/>
      </c>
      <c r="L2087" s="3" t="str">
        <f>CONCATENATE("11 11.1 4b")</f>
        <v>11 11.1 4b</v>
      </c>
      <c r="M2087" s="3" t="str">
        <f>CONCATENATE("BRNMNL96P15B474U")</f>
        <v>BRNMNL96P15B474U</v>
      </c>
      <c r="N2087" s="3" t="s">
        <v>2067</v>
      </c>
      <c r="O2087" s="3"/>
      <c r="P2087" s="4">
        <v>42783</v>
      </c>
      <c r="Q2087" s="3" t="s">
        <v>27</v>
      </c>
      <c r="R2087" s="3" t="s">
        <v>28</v>
      </c>
      <c r="S2087" s="3" t="s">
        <v>29</v>
      </c>
      <c r="T2087" s="5">
        <v>3490.33</v>
      </c>
      <c r="U2087" s="5">
        <v>1505.03</v>
      </c>
      <c r="V2087" s="5">
        <v>1389.85</v>
      </c>
      <c r="W2087" s="3">
        <v>595.45000000000005</v>
      </c>
    </row>
    <row r="2088" spans="1:23" ht="36.75">
      <c r="A2088" s="3" t="s">
        <v>23</v>
      </c>
      <c r="B2088" s="3" t="s">
        <v>24</v>
      </c>
      <c r="C2088" s="3" t="s">
        <v>35</v>
      </c>
      <c r="D2088" s="3" t="s">
        <v>48</v>
      </c>
      <c r="E2088" s="3" t="s">
        <v>30</v>
      </c>
      <c r="F2088" s="3" t="s">
        <v>91</v>
      </c>
      <c r="G2088" s="3">
        <v>2016</v>
      </c>
      <c r="H2088" s="3" t="str">
        <f>CONCATENATE("64240312625")</f>
        <v>64240312625</v>
      </c>
      <c r="I2088" s="3" t="s">
        <v>25</v>
      </c>
      <c r="J2088" s="3" t="s">
        <v>26</v>
      </c>
      <c r="K2088" s="3" t="str">
        <f t="shared" si="66"/>
        <v/>
      </c>
      <c r="L2088" s="3" t="str">
        <f>CONCATENATE("11 11.2 4b")</f>
        <v>11 11.2 4b</v>
      </c>
      <c r="M2088" s="3" t="str">
        <f>CONCATENATE("01296500430")</f>
        <v>01296500430</v>
      </c>
      <c r="N2088" s="3" t="s">
        <v>2068</v>
      </c>
      <c r="O2088" s="3"/>
      <c r="P2088" s="4">
        <v>42783</v>
      </c>
      <c r="Q2088" s="3" t="s">
        <v>27</v>
      </c>
      <c r="R2088" s="3" t="s">
        <v>28</v>
      </c>
      <c r="S2088" s="3" t="s">
        <v>29</v>
      </c>
      <c r="T2088" s="5">
        <v>1058.26</v>
      </c>
      <c r="U2088" s="3">
        <v>456.32</v>
      </c>
      <c r="V2088" s="3">
        <v>421.4</v>
      </c>
      <c r="W2088" s="3">
        <v>180.54</v>
      </c>
    </row>
    <row r="2089" spans="1:23" ht="60.75">
      <c r="A2089" s="3" t="s">
        <v>23</v>
      </c>
      <c r="B2089" s="3" t="s">
        <v>24</v>
      </c>
      <c r="C2089" s="3" t="s">
        <v>35</v>
      </c>
      <c r="D2089" s="3" t="s">
        <v>43</v>
      </c>
      <c r="E2089" s="3" t="s">
        <v>32</v>
      </c>
      <c r="F2089" s="3" t="s">
        <v>184</v>
      </c>
      <c r="G2089" s="3">
        <v>2016</v>
      </c>
      <c r="H2089" s="3" t="str">
        <f>CONCATENATE("64240663233")</f>
        <v>64240663233</v>
      </c>
      <c r="I2089" s="3" t="s">
        <v>25</v>
      </c>
      <c r="J2089" s="3" t="s">
        <v>26</v>
      </c>
      <c r="K2089" s="3" t="str">
        <f t="shared" si="66"/>
        <v/>
      </c>
      <c r="L2089" s="3" t="str">
        <f>CONCATENATE("11 11.1 4b")</f>
        <v>11 11.1 4b</v>
      </c>
      <c r="M2089" s="3" t="str">
        <f>CONCATENATE("FLVCLF45H01G453Z")</f>
        <v>FLVCLF45H01G453Z</v>
      </c>
      <c r="N2089" s="3" t="s">
        <v>2069</v>
      </c>
      <c r="O2089" s="3"/>
      <c r="P2089" s="4">
        <v>42783</v>
      </c>
      <c r="Q2089" s="3" t="s">
        <v>27</v>
      </c>
      <c r="R2089" s="3" t="s">
        <v>28</v>
      </c>
      <c r="S2089" s="3" t="s">
        <v>29</v>
      </c>
      <c r="T2089" s="5">
        <v>3071.52</v>
      </c>
      <c r="U2089" s="5">
        <v>1324.44</v>
      </c>
      <c r="V2089" s="5">
        <v>1223.08</v>
      </c>
      <c r="W2089" s="3">
        <v>524</v>
      </c>
    </row>
    <row r="2090" spans="1:23" ht="72.75">
      <c r="A2090" s="3" t="s">
        <v>23</v>
      </c>
      <c r="B2090" s="3" t="s">
        <v>24</v>
      </c>
      <c r="C2090" s="3" t="s">
        <v>35</v>
      </c>
      <c r="D2090" s="3" t="s">
        <v>39</v>
      </c>
      <c r="E2090" s="3" t="s">
        <v>30</v>
      </c>
      <c r="F2090" s="3" t="s">
        <v>40</v>
      </c>
      <c r="G2090" s="3">
        <v>2016</v>
      </c>
      <c r="H2090" s="3" t="str">
        <f>CONCATENATE("64240529103")</f>
        <v>64240529103</v>
      </c>
      <c r="I2090" s="3" t="s">
        <v>25</v>
      </c>
      <c r="J2090" s="3" t="s">
        <v>26</v>
      </c>
      <c r="K2090" s="3" t="str">
        <f t="shared" si="66"/>
        <v/>
      </c>
      <c r="L2090" s="3" t="str">
        <f>CONCATENATE("11 11.2 4b")</f>
        <v>11 11.2 4b</v>
      </c>
      <c r="M2090" s="3" t="str">
        <f>CONCATENATE("CRBMRN71L71G157I")</f>
        <v>CRBMRN71L71G157I</v>
      </c>
      <c r="N2090" s="3" t="s">
        <v>2070</v>
      </c>
      <c r="O2090" s="3"/>
      <c r="P2090" s="4">
        <v>42783</v>
      </c>
      <c r="Q2090" s="3" t="s">
        <v>27</v>
      </c>
      <c r="R2090" s="3" t="s">
        <v>28</v>
      </c>
      <c r="S2090" s="3" t="s">
        <v>29</v>
      </c>
      <c r="T2090" s="5">
        <v>1328.69</v>
      </c>
      <c r="U2090" s="3">
        <v>572.92999999999995</v>
      </c>
      <c r="V2090" s="3">
        <v>529.08000000000004</v>
      </c>
      <c r="W2090" s="3">
        <v>226.68</v>
      </c>
    </row>
    <row r="2091" spans="1:23" ht="72.75">
      <c r="A2091" s="3" t="s">
        <v>23</v>
      </c>
      <c r="B2091" s="3" t="s">
        <v>24</v>
      </c>
      <c r="C2091" s="3" t="s">
        <v>35</v>
      </c>
      <c r="D2091" s="3" t="s">
        <v>36</v>
      </c>
      <c r="E2091" s="3" t="s">
        <v>33</v>
      </c>
      <c r="F2091" s="3" t="s">
        <v>89</v>
      </c>
      <c r="G2091" s="3">
        <v>2016</v>
      </c>
      <c r="H2091" s="3" t="str">
        <f>CONCATENATE("64210868218")</f>
        <v>64210868218</v>
      </c>
      <c r="I2091" s="3" t="s">
        <v>25</v>
      </c>
      <c r="J2091" s="3" t="s">
        <v>26</v>
      </c>
      <c r="K2091" s="3" t="str">
        <f t="shared" si="66"/>
        <v/>
      </c>
      <c r="L2091" s="3" t="str">
        <f>CONCATENATE("13 13.1 4a")</f>
        <v>13 13.1 4a</v>
      </c>
      <c r="M2091" s="3" t="str">
        <f>CONCATENATE("TCCMDA54D11F570N")</f>
        <v>TCCMDA54D11F570N</v>
      </c>
      <c r="N2091" s="3" t="s">
        <v>2071</v>
      </c>
      <c r="O2091" s="3"/>
      <c r="P2091" s="4">
        <v>42783</v>
      </c>
      <c r="Q2091" s="3" t="s">
        <v>27</v>
      </c>
      <c r="R2091" s="3" t="s">
        <v>28</v>
      </c>
      <c r="S2091" s="3" t="s">
        <v>29</v>
      </c>
      <c r="T2091" s="3">
        <v>947.75</v>
      </c>
      <c r="U2091" s="3">
        <v>408.67</v>
      </c>
      <c r="V2091" s="3">
        <v>377.39</v>
      </c>
      <c r="W2091" s="3">
        <v>161.69</v>
      </c>
    </row>
    <row r="2092" spans="1:23" ht="60.75">
      <c r="A2092" s="3" t="s">
        <v>23</v>
      </c>
      <c r="B2092" s="3" t="s">
        <v>24</v>
      </c>
      <c r="C2092" s="3" t="s">
        <v>35</v>
      </c>
      <c r="D2092" s="3" t="s">
        <v>48</v>
      </c>
      <c r="E2092" s="3" t="s">
        <v>30</v>
      </c>
      <c r="F2092" s="3" t="s">
        <v>157</v>
      </c>
      <c r="G2092" s="3">
        <v>2016</v>
      </c>
      <c r="H2092" s="3" t="str">
        <f>CONCATENATE("64240288361")</f>
        <v>64240288361</v>
      </c>
      <c r="I2092" s="3" t="s">
        <v>25</v>
      </c>
      <c r="J2092" s="3" t="s">
        <v>26</v>
      </c>
      <c r="K2092" s="3" t="str">
        <f t="shared" si="66"/>
        <v/>
      </c>
      <c r="L2092" s="3" t="str">
        <f>CONCATENATE("11 11.2 4b")</f>
        <v>11 11.2 4b</v>
      </c>
      <c r="M2092" s="3" t="str">
        <f>CONCATENATE("BRTLDN57C70A252G")</f>
        <v>BRTLDN57C70A252G</v>
      </c>
      <c r="N2092" s="3" t="s">
        <v>2072</v>
      </c>
      <c r="O2092" s="3"/>
      <c r="P2092" s="4">
        <v>42783</v>
      </c>
      <c r="Q2092" s="3" t="s">
        <v>27</v>
      </c>
      <c r="R2092" s="3" t="s">
        <v>28</v>
      </c>
      <c r="S2092" s="3" t="s">
        <v>29</v>
      </c>
      <c r="T2092" s="5">
        <v>3225.86</v>
      </c>
      <c r="U2092" s="5">
        <v>1390.99</v>
      </c>
      <c r="V2092" s="5">
        <v>1284.54</v>
      </c>
      <c r="W2092" s="3">
        <v>550.33000000000004</v>
      </c>
    </row>
    <row r="2093" spans="1:23" ht="60.75">
      <c r="A2093" s="3" t="s">
        <v>23</v>
      </c>
      <c r="B2093" s="3" t="s">
        <v>24</v>
      </c>
      <c r="C2093" s="3" t="s">
        <v>35</v>
      </c>
      <c r="D2093" s="3" t="s">
        <v>36</v>
      </c>
      <c r="E2093" s="3" t="s">
        <v>33</v>
      </c>
      <c r="F2093" s="3" t="s">
        <v>360</v>
      </c>
      <c r="G2093" s="3">
        <v>2016</v>
      </c>
      <c r="H2093" s="3" t="str">
        <f>CONCATENATE("64240446423")</f>
        <v>64240446423</v>
      </c>
      <c r="I2093" s="3" t="s">
        <v>25</v>
      </c>
      <c r="J2093" s="3" t="s">
        <v>26</v>
      </c>
      <c r="K2093" s="3" t="str">
        <f t="shared" si="66"/>
        <v/>
      </c>
      <c r="L2093" s="3" t="str">
        <f>CONCATENATE("10 10.1 4b")</f>
        <v>10 10.1 4b</v>
      </c>
      <c r="M2093" s="3" t="str">
        <f>CONCATENATE("GBBLNZ47R16F415K")</f>
        <v>GBBLNZ47R16F415K</v>
      </c>
      <c r="N2093" s="3" t="s">
        <v>2073</v>
      </c>
      <c r="O2093" s="3"/>
      <c r="P2093" s="4">
        <v>42783</v>
      </c>
      <c r="Q2093" s="3" t="s">
        <v>27</v>
      </c>
      <c r="R2093" s="3" t="s">
        <v>28</v>
      </c>
      <c r="S2093" s="3" t="s">
        <v>29</v>
      </c>
      <c r="T2093" s="5">
        <v>1197.23</v>
      </c>
      <c r="U2093" s="3">
        <v>516.25</v>
      </c>
      <c r="V2093" s="3">
        <v>476.74</v>
      </c>
      <c r="W2093" s="3">
        <v>204.24</v>
      </c>
    </row>
    <row r="2094" spans="1:23" ht="72.75">
      <c r="A2094" s="3" t="s">
        <v>23</v>
      </c>
      <c r="B2094" s="3" t="s">
        <v>24</v>
      </c>
      <c r="C2094" s="3" t="s">
        <v>35</v>
      </c>
      <c r="D2094" s="3" t="s">
        <v>36</v>
      </c>
      <c r="E2094" s="3" t="s">
        <v>30</v>
      </c>
      <c r="F2094" s="3" t="s">
        <v>86</v>
      </c>
      <c r="G2094" s="3">
        <v>2016</v>
      </c>
      <c r="H2094" s="3" t="str">
        <f>CONCATENATE("64210521247")</f>
        <v>64210521247</v>
      </c>
      <c r="I2094" s="3" t="s">
        <v>25</v>
      </c>
      <c r="J2094" s="3" t="s">
        <v>26</v>
      </c>
      <c r="K2094" s="3" t="str">
        <f t="shared" si="66"/>
        <v/>
      </c>
      <c r="L2094" s="3" t="str">
        <f>CONCATENATE("13 13.1 4a")</f>
        <v>13 13.1 4a</v>
      </c>
      <c r="M2094" s="3" t="str">
        <f>CONCATENATE("NGLMDM54E63L597U")</f>
        <v>NGLMDM54E63L597U</v>
      </c>
      <c r="N2094" s="3" t="s">
        <v>2074</v>
      </c>
      <c r="O2094" s="3"/>
      <c r="P2094" s="4">
        <v>42783</v>
      </c>
      <c r="Q2094" s="3" t="s">
        <v>27</v>
      </c>
      <c r="R2094" s="3" t="s">
        <v>28</v>
      </c>
      <c r="S2094" s="3" t="s">
        <v>29</v>
      </c>
      <c r="T2094" s="5">
        <v>4366.8999999999996</v>
      </c>
      <c r="U2094" s="5">
        <v>1883.01</v>
      </c>
      <c r="V2094" s="5">
        <v>1738.9</v>
      </c>
      <c r="W2094" s="3">
        <v>744.99</v>
      </c>
    </row>
    <row r="2095" spans="1:23" ht="36.75">
      <c r="A2095" s="3" t="s">
        <v>23</v>
      </c>
      <c r="B2095" s="3" t="s">
        <v>24</v>
      </c>
      <c r="C2095" s="3" t="s">
        <v>35</v>
      </c>
      <c r="D2095" s="3" t="s">
        <v>43</v>
      </c>
      <c r="E2095" s="3" t="s">
        <v>49</v>
      </c>
      <c r="F2095" s="3" t="s">
        <v>139</v>
      </c>
      <c r="G2095" s="3">
        <v>2016</v>
      </c>
      <c r="H2095" s="3" t="str">
        <f>CONCATENATE("64240539136")</f>
        <v>64240539136</v>
      </c>
      <c r="I2095" s="3" t="s">
        <v>25</v>
      </c>
      <c r="J2095" s="3" t="s">
        <v>26</v>
      </c>
      <c r="K2095" s="3" t="str">
        <f t="shared" si="66"/>
        <v/>
      </c>
      <c r="L2095" s="3" t="str">
        <f>CONCATENATE("11 11.2 4b")</f>
        <v>11 11.2 4b</v>
      </c>
      <c r="M2095" s="3" t="str">
        <f>CONCATENATE("02444730416")</f>
        <v>02444730416</v>
      </c>
      <c r="N2095" s="3" t="s">
        <v>2075</v>
      </c>
      <c r="O2095" s="3"/>
      <c r="P2095" s="4">
        <v>42783</v>
      </c>
      <c r="Q2095" s="3" t="s">
        <v>27</v>
      </c>
      <c r="R2095" s="3" t="s">
        <v>28</v>
      </c>
      <c r="S2095" s="3" t="s">
        <v>29</v>
      </c>
      <c r="T2095" s="5">
        <v>2902.01</v>
      </c>
      <c r="U2095" s="5">
        <v>1251.3499999999999</v>
      </c>
      <c r="V2095" s="5">
        <v>1155.58</v>
      </c>
      <c r="W2095" s="3">
        <v>495.08</v>
      </c>
    </row>
    <row r="2096" spans="1:23" ht="36.75">
      <c r="A2096" s="3" t="s">
        <v>23</v>
      </c>
      <c r="B2096" s="3" t="s">
        <v>24</v>
      </c>
      <c r="C2096" s="3" t="s">
        <v>35</v>
      </c>
      <c r="D2096" s="3" t="s">
        <v>36</v>
      </c>
      <c r="E2096" s="3" t="s">
        <v>30</v>
      </c>
      <c r="F2096" s="3" t="s">
        <v>37</v>
      </c>
      <c r="G2096" s="3">
        <v>2016</v>
      </c>
      <c r="H2096" s="3" t="str">
        <f>CONCATENATE("64211096751")</f>
        <v>64211096751</v>
      </c>
      <c r="I2096" s="3" t="s">
        <v>25</v>
      </c>
      <c r="J2096" s="3" t="s">
        <v>26</v>
      </c>
      <c r="K2096" s="3" t="str">
        <f t="shared" si="66"/>
        <v/>
      </c>
      <c r="L2096" s="3" t="str">
        <f>CONCATENATE("13 13.1 4a")</f>
        <v>13 13.1 4a</v>
      </c>
      <c r="M2096" s="3" t="str">
        <f>CONCATENATE("01146920440")</f>
        <v>01146920440</v>
      </c>
      <c r="N2096" s="3" t="s">
        <v>103</v>
      </c>
      <c r="O2096" s="3"/>
      <c r="P2096" s="4">
        <v>42783</v>
      </c>
      <c r="Q2096" s="3" t="s">
        <v>27</v>
      </c>
      <c r="R2096" s="3" t="s">
        <v>28</v>
      </c>
      <c r="S2096" s="3" t="s">
        <v>29</v>
      </c>
      <c r="T2096" s="3">
        <v>676.41</v>
      </c>
      <c r="U2096" s="3">
        <v>291.67</v>
      </c>
      <c r="V2096" s="3">
        <v>269.35000000000002</v>
      </c>
      <c r="W2096" s="3">
        <v>115.39</v>
      </c>
    </row>
    <row r="2097" spans="1:23" ht="36.75">
      <c r="A2097" s="3" t="s">
        <v>23</v>
      </c>
      <c r="B2097" s="3" t="s">
        <v>24</v>
      </c>
      <c r="C2097" s="3" t="s">
        <v>35</v>
      </c>
      <c r="D2097" s="3" t="s">
        <v>43</v>
      </c>
      <c r="E2097" s="3" t="s">
        <v>30</v>
      </c>
      <c r="F2097" s="3" t="s">
        <v>109</v>
      </c>
      <c r="G2097" s="3">
        <v>2016</v>
      </c>
      <c r="H2097" s="3" t="str">
        <f>CONCATENATE("64210791659")</f>
        <v>64210791659</v>
      </c>
      <c r="I2097" s="3" t="s">
        <v>25</v>
      </c>
      <c r="J2097" s="3" t="s">
        <v>26</v>
      </c>
      <c r="K2097" s="3" t="str">
        <f t="shared" si="66"/>
        <v/>
      </c>
      <c r="L2097" s="3" t="str">
        <f>CONCATENATE("13 13.1 4a")</f>
        <v>13 13.1 4a</v>
      </c>
      <c r="M2097" s="3" t="str">
        <f>CONCATENATE("02528080415")</f>
        <v>02528080415</v>
      </c>
      <c r="N2097" s="3" t="s">
        <v>2076</v>
      </c>
      <c r="O2097" s="3"/>
      <c r="P2097" s="4">
        <v>42783</v>
      </c>
      <c r="Q2097" s="3" t="s">
        <v>27</v>
      </c>
      <c r="R2097" s="3" t="s">
        <v>28</v>
      </c>
      <c r="S2097" s="3" t="s">
        <v>29</v>
      </c>
      <c r="T2097" s="5">
        <v>2956.67</v>
      </c>
      <c r="U2097" s="5">
        <v>1274.92</v>
      </c>
      <c r="V2097" s="5">
        <v>1177.3499999999999</v>
      </c>
      <c r="W2097" s="3">
        <v>504.4</v>
      </c>
    </row>
    <row r="2098" spans="1:23" ht="60.75">
      <c r="A2098" s="3" t="s">
        <v>23</v>
      </c>
      <c r="B2098" s="3" t="s">
        <v>24</v>
      </c>
      <c r="C2098" s="3" t="s">
        <v>35</v>
      </c>
      <c r="D2098" s="3" t="s">
        <v>36</v>
      </c>
      <c r="E2098" s="3" t="s">
        <v>30</v>
      </c>
      <c r="F2098" s="3" t="s">
        <v>86</v>
      </c>
      <c r="G2098" s="3">
        <v>2016</v>
      </c>
      <c r="H2098" s="3" t="str">
        <f>CONCATENATE("64210497497")</f>
        <v>64210497497</v>
      </c>
      <c r="I2098" s="3" t="s">
        <v>25</v>
      </c>
      <c r="J2098" s="3" t="s">
        <v>26</v>
      </c>
      <c r="K2098" s="3" t="str">
        <f t="shared" si="66"/>
        <v/>
      </c>
      <c r="L2098" s="3" t="str">
        <f>CONCATENATE("13 13.1 4a")</f>
        <v>13 13.1 4a</v>
      </c>
      <c r="M2098" s="3" t="str">
        <f>CONCATENATE("LLLCMN64M04H501O")</f>
        <v>LLLCMN64M04H501O</v>
      </c>
      <c r="N2098" s="3" t="s">
        <v>2078</v>
      </c>
      <c r="O2098" s="3"/>
      <c r="P2098" s="4">
        <v>42783</v>
      </c>
      <c r="Q2098" s="3" t="s">
        <v>27</v>
      </c>
      <c r="R2098" s="3" t="s">
        <v>28</v>
      </c>
      <c r="S2098" s="3" t="s">
        <v>29</v>
      </c>
      <c r="T2098" s="3">
        <v>986.04</v>
      </c>
      <c r="U2098" s="3">
        <v>425.18</v>
      </c>
      <c r="V2098" s="3">
        <v>392.64</v>
      </c>
      <c r="W2098" s="3">
        <v>168.22</v>
      </c>
    </row>
    <row r="2099" spans="1:23" ht="36.75">
      <c r="A2099" s="3" t="s">
        <v>23</v>
      </c>
      <c r="B2099" s="3" t="s">
        <v>24</v>
      </c>
      <c r="C2099" s="3" t="s">
        <v>35</v>
      </c>
      <c r="D2099" s="3" t="s">
        <v>48</v>
      </c>
      <c r="E2099" s="3" t="s">
        <v>34</v>
      </c>
      <c r="F2099" s="3" t="s">
        <v>141</v>
      </c>
      <c r="G2099" s="3">
        <v>2016</v>
      </c>
      <c r="H2099" s="3" t="str">
        <f>CONCATENATE("64240178653")</f>
        <v>64240178653</v>
      </c>
      <c r="I2099" s="3" t="s">
        <v>25</v>
      </c>
      <c r="J2099" s="3" t="s">
        <v>26</v>
      </c>
      <c r="K2099" s="3" t="str">
        <f t="shared" si="66"/>
        <v/>
      </c>
      <c r="L2099" s="3" t="str">
        <f>CONCATENATE("11 11.2 4b")</f>
        <v>11 11.2 4b</v>
      </c>
      <c r="M2099" s="3" t="str">
        <f>CONCATENATE("00904840436")</f>
        <v>00904840436</v>
      </c>
      <c r="N2099" s="3" t="s">
        <v>2079</v>
      </c>
      <c r="O2099" s="3"/>
      <c r="P2099" s="4">
        <v>42783</v>
      </c>
      <c r="Q2099" s="3" t="s">
        <v>27</v>
      </c>
      <c r="R2099" s="3" t="s">
        <v>28</v>
      </c>
      <c r="S2099" s="3" t="s">
        <v>29</v>
      </c>
      <c r="T2099" s="5">
        <v>2354.1799999999998</v>
      </c>
      <c r="U2099" s="5">
        <v>1015.12</v>
      </c>
      <c r="V2099" s="3">
        <v>937.43</v>
      </c>
      <c r="W2099" s="3">
        <v>401.63</v>
      </c>
    </row>
    <row r="2100" spans="1:23" ht="60.75">
      <c r="A2100" s="3" t="s">
        <v>23</v>
      </c>
      <c r="B2100" s="3" t="s">
        <v>24</v>
      </c>
      <c r="C2100" s="3" t="s">
        <v>35</v>
      </c>
      <c r="D2100" s="3" t="s">
        <v>48</v>
      </c>
      <c r="E2100" s="3" t="s">
        <v>30</v>
      </c>
      <c r="F2100" s="3" t="s">
        <v>55</v>
      </c>
      <c r="G2100" s="3">
        <v>2016</v>
      </c>
      <c r="H2100" s="3" t="str">
        <f>CONCATENATE("64240729976")</f>
        <v>64240729976</v>
      </c>
      <c r="I2100" s="3" t="s">
        <v>25</v>
      </c>
      <c r="J2100" s="3" t="s">
        <v>26</v>
      </c>
      <c r="K2100" s="3" t="str">
        <f t="shared" si="66"/>
        <v/>
      </c>
      <c r="L2100" s="3" t="str">
        <f>CONCATENATE("11 11.2 4b")</f>
        <v>11 11.2 4b</v>
      </c>
      <c r="M2100" s="3" t="str">
        <f>CONCATENATE("SLVDRN65P30G515N")</f>
        <v>SLVDRN65P30G515N</v>
      </c>
      <c r="N2100" s="3" t="s">
        <v>2080</v>
      </c>
      <c r="O2100" s="3"/>
      <c r="P2100" s="4">
        <v>42783</v>
      </c>
      <c r="Q2100" s="3" t="s">
        <v>27</v>
      </c>
      <c r="R2100" s="3" t="s">
        <v>28</v>
      </c>
      <c r="S2100" s="3" t="s">
        <v>29</v>
      </c>
      <c r="T2100" s="5">
        <v>1294.83</v>
      </c>
      <c r="U2100" s="3">
        <v>558.33000000000004</v>
      </c>
      <c r="V2100" s="3">
        <v>515.6</v>
      </c>
      <c r="W2100" s="3">
        <v>220.9</v>
      </c>
    </row>
    <row r="2101" spans="1:23" ht="60.75">
      <c r="A2101" s="3" t="s">
        <v>23</v>
      </c>
      <c r="B2101" s="3" t="s">
        <v>24</v>
      </c>
      <c r="C2101" s="3" t="s">
        <v>35</v>
      </c>
      <c r="D2101" s="3" t="s">
        <v>43</v>
      </c>
      <c r="E2101" s="3" t="s">
        <v>30</v>
      </c>
      <c r="F2101" s="3" t="s">
        <v>76</v>
      </c>
      <c r="G2101" s="3">
        <v>2016</v>
      </c>
      <c r="H2101" s="3" t="str">
        <f>CONCATENATE("64240298311")</f>
        <v>64240298311</v>
      </c>
      <c r="I2101" s="3" t="s">
        <v>25</v>
      </c>
      <c r="J2101" s="3" t="s">
        <v>26</v>
      </c>
      <c r="K2101" s="3" t="str">
        <f t="shared" si="66"/>
        <v/>
      </c>
      <c r="L2101" s="3" t="str">
        <f>CONCATENATE("11 11.2 4b")</f>
        <v>11 11.2 4b</v>
      </c>
      <c r="M2101" s="3" t="str">
        <f>CONCATENATE("CAUZEI63B01I749B")</f>
        <v>CAUZEI63B01I749B</v>
      </c>
      <c r="N2101" s="3" t="s">
        <v>437</v>
      </c>
      <c r="O2101" s="3"/>
      <c r="P2101" s="4">
        <v>42783</v>
      </c>
      <c r="Q2101" s="3" t="s">
        <v>27</v>
      </c>
      <c r="R2101" s="3" t="s">
        <v>28</v>
      </c>
      <c r="S2101" s="3" t="s">
        <v>29</v>
      </c>
      <c r="T2101" s="5">
        <v>8698.81</v>
      </c>
      <c r="U2101" s="5">
        <v>3750.93</v>
      </c>
      <c r="V2101" s="5">
        <v>3463.87</v>
      </c>
      <c r="W2101" s="5">
        <v>1484.01</v>
      </c>
    </row>
    <row r="2102" spans="1:23" ht="60.75">
      <c r="A2102" s="3" t="s">
        <v>23</v>
      </c>
      <c r="B2102" s="3" t="s">
        <v>24</v>
      </c>
      <c r="C2102" s="3" t="s">
        <v>35</v>
      </c>
      <c r="D2102" s="3" t="s">
        <v>36</v>
      </c>
      <c r="E2102" s="3" t="s">
        <v>30</v>
      </c>
      <c r="F2102" s="3" t="s">
        <v>37</v>
      </c>
      <c r="G2102" s="3">
        <v>2016</v>
      </c>
      <c r="H2102" s="3" t="str">
        <f>CONCATENATE("64240406948")</f>
        <v>64240406948</v>
      </c>
      <c r="I2102" s="3" t="s">
        <v>25</v>
      </c>
      <c r="J2102" s="3" t="s">
        <v>26</v>
      </c>
      <c r="K2102" s="3" t="str">
        <f t="shared" si="66"/>
        <v/>
      </c>
      <c r="L2102" s="3" t="str">
        <f>CONCATENATE("11 11.2 4b")</f>
        <v>11 11.2 4b</v>
      </c>
      <c r="M2102" s="3" t="str">
        <f>CONCATENATE("BTTDNC58D15F415Y")</f>
        <v>BTTDNC58D15F415Y</v>
      </c>
      <c r="N2102" s="3" t="s">
        <v>2081</v>
      </c>
      <c r="O2102" s="3"/>
      <c r="P2102" s="4">
        <v>42783</v>
      </c>
      <c r="Q2102" s="3" t="s">
        <v>27</v>
      </c>
      <c r="R2102" s="3" t="s">
        <v>28</v>
      </c>
      <c r="S2102" s="3" t="s">
        <v>29</v>
      </c>
      <c r="T2102" s="5">
        <v>3281.43</v>
      </c>
      <c r="U2102" s="5">
        <v>1414.95</v>
      </c>
      <c r="V2102" s="5">
        <v>1306.67</v>
      </c>
      <c r="W2102" s="3">
        <v>559.80999999999995</v>
      </c>
    </row>
    <row r="2103" spans="1:23" ht="36.75">
      <c r="A2103" s="3" t="s">
        <v>23</v>
      </c>
      <c r="B2103" s="3" t="s">
        <v>24</v>
      </c>
      <c r="C2103" s="3" t="s">
        <v>35</v>
      </c>
      <c r="D2103" s="3" t="s">
        <v>48</v>
      </c>
      <c r="E2103" s="3" t="s">
        <v>30</v>
      </c>
      <c r="F2103" s="3" t="s">
        <v>157</v>
      </c>
      <c r="G2103" s="3">
        <v>2016</v>
      </c>
      <c r="H2103" s="3" t="str">
        <f>CONCATENATE("64240840666")</f>
        <v>64240840666</v>
      </c>
      <c r="I2103" s="3" t="s">
        <v>25</v>
      </c>
      <c r="J2103" s="3" t="s">
        <v>26</v>
      </c>
      <c r="K2103" s="3" t="str">
        <f t="shared" si="66"/>
        <v/>
      </c>
      <c r="L2103" s="3" t="str">
        <f>CONCATENATE("11 11.1 4b")</f>
        <v>11 11.1 4b</v>
      </c>
      <c r="M2103" s="3" t="str">
        <f>CONCATENATE("01797880430")</f>
        <v>01797880430</v>
      </c>
      <c r="N2103" s="3" t="s">
        <v>2082</v>
      </c>
      <c r="O2103" s="3"/>
      <c r="P2103" s="4">
        <v>42783</v>
      </c>
      <c r="Q2103" s="3" t="s">
        <v>27</v>
      </c>
      <c r="R2103" s="3" t="s">
        <v>28</v>
      </c>
      <c r="S2103" s="3" t="s">
        <v>29</v>
      </c>
      <c r="T2103" s="5">
        <v>1350.52</v>
      </c>
      <c r="U2103" s="3">
        <v>582.34</v>
      </c>
      <c r="V2103" s="3">
        <v>537.78</v>
      </c>
      <c r="W2103" s="3">
        <v>230.4</v>
      </c>
    </row>
    <row r="2104" spans="1:23" ht="36.75">
      <c r="A2104" s="3" t="s">
        <v>23</v>
      </c>
      <c r="B2104" s="3" t="s">
        <v>24</v>
      </c>
      <c r="C2104" s="3" t="s">
        <v>35</v>
      </c>
      <c r="D2104" s="3" t="s">
        <v>39</v>
      </c>
      <c r="E2104" s="3" t="s">
        <v>30</v>
      </c>
      <c r="F2104" s="3" t="s">
        <v>40</v>
      </c>
      <c r="G2104" s="3">
        <v>2016</v>
      </c>
      <c r="H2104" s="3" t="str">
        <f>CONCATENATE("64240381810")</f>
        <v>64240381810</v>
      </c>
      <c r="I2104" s="3" t="s">
        <v>25</v>
      </c>
      <c r="J2104" s="3" t="s">
        <v>26</v>
      </c>
      <c r="K2104" s="3" t="str">
        <f t="shared" si="66"/>
        <v/>
      </c>
      <c r="L2104" s="3" t="str">
        <f>CONCATENATE("11 11.2 4b")</f>
        <v>11 11.2 4b</v>
      </c>
      <c r="M2104" s="3" t="str">
        <f>CONCATENATE("02431390422")</f>
        <v>02431390422</v>
      </c>
      <c r="N2104" s="3" t="s">
        <v>2083</v>
      </c>
      <c r="O2104" s="3"/>
      <c r="P2104" s="4">
        <v>42783</v>
      </c>
      <c r="Q2104" s="3" t="s">
        <v>27</v>
      </c>
      <c r="R2104" s="3" t="s">
        <v>28</v>
      </c>
      <c r="S2104" s="3" t="s">
        <v>29</v>
      </c>
      <c r="T2104" s="5">
        <v>16988.189999999999</v>
      </c>
      <c r="U2104" s="5">
        <v>7325.31</v>
      </c>
      <c r="V2104" s="5">
        <v>6764.7</v>
      </c>
      <c r="W2104" s="5">
        <v>2898.18</v>
      </c>
    </row>
    <row r="2105" spans="1:23" ht="36.75">
      <c r="A2105" s="3" t="s">
        <v>23</v>
      </c>
      <c r="B2105" s="3" t="s">
        <v>24</v>
      </c>
      <c r="C2105" s="3" t="s">
        <v>35</v>
      </c>
      <c r="D2105" s="3" t="s">
        <v>48</v>
      </c>
      <c r="E2105" s="3" t="s">
        <v>34</v>
      </c>
      <c r="F2105" s="3" t="s">
        <v>141</v>
      </c>
      <c r="G2105" s="3">
        <v>2016</v>
      </c>
      <c r="H2105" s="3" t="str">
        <f>CONCATENATE("64240867065")</f>
        <v>64240867065</v>
      </c>
      <c r="I2105" s="3" t="s">
        <v>25</v>
      </c>
      <c r="J2105" s="3" t="s">
        <v>26</v>
      </c>
      <c r="K2105" s="3" t="str">
        <f t="shared" si="66"/>
        <v/>
      </c>
      <c r="L2105" s="3" t="str">
        <f>CONCATENATE("11 11.1 4b")</f>
        <v>11 11.1 4b</v>
      </c>
      <c r="M2105" s="3" t="str">
        <f>CONCATENATE("01912920434")</f>
        <v>01912920434</v>
      </c>
      <c r="N2105" s="3" t="s">
        <v>2084</v>
      </c>
      <c r="O2105" s="3"/>
      <c r="P2105" s="4">
        <v>42783</v>
      </c>
      <c r="Q2105" s="3" t="s">
        <v>27</v>
      </c>
      <c r="R2105" s="3" t="s">
        <v>28</v>
      </c>
      <c r="S2105" s="3" t="s">
        <v>29</v>
      </c>
      <c r="T2105" s="5">
        <v>19097.89</v>
      </c>
      <c r="U2105" s="5">
        <v>8235.01</v>
      </c>
      <c r="V2105" s="5">
        <v>7604.78</v>
      </c>
      <c r="W2105" s="5">
        <v>3258.1</v>
      </c>
    </row>
    <row r="2106" spans="1:23" ht="60.75">
      <c r="A2106" s="3" t="s">
        <v>23</v>
      </c>
      <c r="B2106" s="3" t="s">
        <v>24</v>
      </c>
      <c r="C2106" s="3" t="s">
        <v>35</v>
      </c>
      <c r="D2106" s="3" t="s">
        <v>43</v>
      </c>
      <c r="E2106" s="3" t="s">
        <v>32</v>
      </c>
      <c r="F2106" s="3" t="s">
        <v>335</v>
      </c>
      <c r="G2106" s="3">
        <v>2016</v>
      </c>
      <c r="H2106" s="3" t="str">
        <f>CONCATENATE("64210774945")</f>
        <v>64210774945</v>
      </c>
      <c r="I2106" s="3" t="s">
        <v>25</v>
      </c>
      <c r="J2106" s="3" t="s">
        <v>26</v>
      </c>
      <c r="K2106" s="3" t="str">
        <f t="shared" si="66"/>
        <v/>
      </c>
      <c r="L2106" s="3" t="str">
        <f>CONCATENATE("13 13.1 4a")</f>
        <v>13 13.1 4a</v>
      </c>
      <c r="M2106" s="3" t="str">
        <f>CONCATENATE("BRRFRZ64E10E785F")</f>
        <v>BRRFRZ64E10E785F</v>
      </c>
      <c r="N2106" s="3" t="s">
        <v>380</v>
      </c>
      <c r="O2106" s="3"/>
      <c r="P2106" s="4">
        <v>42783</v>
      </c>
      <c r="Q2106" s="3" t="s">
        <v>27</v>
      </c>
      <c r="R2106" s="3" t="s">
        <v>28</v>
      </c>
      <c r="S2106" s="3" t="s">
        <v>29</v>
      </c>
      <c r="T2106" s="5">
        <v>2307.7600000000002</v>
      </c>
      <c r="U2106" s="3">
        <v>995.11</v>
      </c>
      <c r="V2106" s="3">
        <v>918.95</v>
      </c>
      <c r="W2106" s="3">
        <v>393.7</v>
      </c>
    </row>
    <row r="2107" spans="1:23" ht="60.75">
      <c r="A2107" s="3" t="s">
        <v>23</v>
      </c>
      <c r="B2107" s="3" t="s">
        <v>24</v>
      </c>
      <c r="C2107" s="3" t="s">
        <v>35</v>
      </c>
      <c r="D2107" s="3" t="s">
        <v>48</v>
      </c>
      <c r="E2107" s="3" t="s">
        <v>30</v>
      </c>
      <c r="F2107" s="3" t="s">
        <v>236</v>
      </c>
      <c r="G2107" s="3">
        <v>2016</v>
      </c>
      <c r="H2107" s="3" t="str">
        <f>CONCATENATE("64240610267")</f>
        <v>64240610267</v>
      </c>
      <c r="I2107" s="3" t="s">
        <v>25</v>
      </c>
      <c r="J2107" s="3" t="s">
        <v>26</v>
      </c>
      <c r="K2107" s="3" t="str">
        <f t="shared" si="66"/>
        <v/>
      </c>
      <c r="L2107" s="3" t="str">
        <f>CONCATENATE("11 11.2 4b")</f>
        <v>11 11.2 4b</v>
      </c>
      <c r="M2107" s="3" t="str">
        <f>CONCATENATE("PCCLNI57H17A329E")</f>
        <v>PCCLNI57H17A329E</v>
      </c>
      <c r="N2107" s="3" t="s">
        <v>2085</v>
      </c>
      <c r="O2107" s="3"/>
      <c r="P2107" s="4">
        <v>42783</v>
      </c>
      <c r="Q2107" s="3" t="s">
        <v>27</v>
      </c>
      <c r="R2107" s="3" t="s">
        <v>28</v>
      </c>
      <c r="S2107" s="3" t="s">
        <v>29</v>
      </c>
      <c r="T2107" s="5">
        <v>7572.27</v>
      </c>
      <c r="U2107" s="5">
        <v>3265.16</v>
      </c>
      <c r="V2107" s="5">
        <v>3015.28</v>
      </c>
      <c r="W2107" s="5">
        <v>1291.83</v>
      </c>
    </row>
    <row r="2108" spans="1:23" ht="60.75">
      <c r="A2108" s="3" t="s">
        <v>23</v>
      </c>
      <c r="B2108" s="3" t="s">
        <v>24</v>
      </c>
      <c r="C2108" s="3" t="s">
        <v>35</v>
      </c>
      <c r="D2108" s="3" t="s">
        <v>43</v>
      </c>
      <c r="E2108" s="3" t="s">
        <v>30</v>
      </c>
      <c r="F2108" s="3" t="s">
        <v>104</v>
      </c>
      <c r="G2108" s="3">
        <v>2016</v>
      </c>
      <c r="H2108" s="3" t="str">
        <f>CONCATENATE("64240532412")</f>
        <v>64240532412</v>
      </c>
      <c r="I2108" s="3" t="s">
        <v>25</v>
      </c>
      <c r="J2108" s="3" t="s">
        <v>26</v>
      </c>
      <c r="K2108" s="3" t="str">
        <f t="shared" si="66"/>
        <v/>
      </c>
      <c r="L2108" s="3" t="str">
        <f>CONCATENATE("11 11.1 4b")</f>
        <v>11 11.1 4b</v>
      </c>
      <c r="M2108" s="3" t="str">
        <f>CONCATENATE("TBRTMS89R31L500M")</f>
        <v>TBRTMS89R31L500M</v>
      </c>
      <c r="N2108" s="3" t="s">
        <v>1260</v>
      </c>
      <c r="O2108" s="3"/>
      <c r="P2108" s="4">
        <v>42783</v>
      </c>
      <c r="Q2108" s="3" t="s">
        <v>27</v>
      </c>
      <c r="R2108" s="3" t="s">
        <v>28</v>
      </c>
      <c r="S2108" s="3" t="s">
        <v>29</v>
      </c>
      <c r="T2108" s="5">
        <v>8619.7099999999991</v>
      </c>
      <c r="U2108" s="5">
        <v>3716.82</v>
      </c>
      <c r="V2108" s="5">
        <v>3432.37</v>
      </c>
      <c r="W2108" s="5">
        <v>1470.52</v>
      </c>
    </row>
    <row r="2109" spans="1:23" ht="36.75">
      <c r="A2109" s="3" t="s">
        <v>23</v>
      </c>
      <c r="B2109" s="3" t="s">
        <v>24</v>
      </c>
      <c r="C2109" s="3" t="s">
        <v>35</v>
      </c>
      <c r="D2109" s="3" t="s">
        <v>43</v>
      </c>
      <c r="E2109" s="3" t="s">
        <v>33</v>
      </c>
      <c r="F2109" s="3" t="s">
        <v>46</v>
      </c>
      <c r="G2109" s="3">
        <v>2016</v>
      </c>
      <c r="H2109" s="3" t="str">
        <f>CONCATENATE("64240714507")</f>
        <v>64240714507</v>
      </c>
      <c r="I2109" s="3" t="s">
        <v>25</v>
      </c>
      <c r="J2109" s="3" t="s">
        <v>26</v>
      </c>
      <c r="K2109" s="3" t="str">
        <f t="shared" si="66"/>
        <v/>
      </c>
      <c r="L2109" s="3" t="str">
        <f>CONCATENATE("11 11.2 4b")</f>
        <v>11 11.2 4b</v>
      </c>
      <c r="M2109" s="3" t="str">
        <f>CONCATENATE("02351680414")</f>
        <v>02351680414</v>
      </c>
      <c r="N2109" s="3" t="s">
        <v>2087</v>
      </c>
      <c r="O2109" s="3"/>
      <c r="P2109" s="4">
        <v>42783</v>
      </c>
      <c r="Q2109" s="3" t="s">
        <v>27</v>
      </c>
      <c r="R2109" s="3" t="s">
        <v>28</v>
      </c>
      <c r="S2109" s="3" t="s">
        <v>29</v>
      </c>
      <c r="T2109" s="5">
        <v>7352.03</v>
      </c>
      <c r="U2109" s="5">
        <v>3170.2</v>
      </c>
      <c r="V2109" s="5">
        <v>2927.58</v>
      </c>
      <c r="W2109" s="5">
        <v>1254.25</v>
      </c>
    </row>
    <row r="2110" spans="1:23" ht="60.75">
      <c r="A2110" s="3" t="s">
        <v>23</v>
      </c>
      <c r="B2110" s="3" t="s">
        <v>24</v>
      </c>
      <c r="C2110" s="3" t="s">
        <v>35</v>
      </c>
      <c r="D2110" s="3" t="s">
        <v>43</v>
      </c>
      <c r="E2110" s="3" t="s">
        <v>30</v>
      </c>
      <c r="F2110" s="3" t="s">
        <v>131</v>
      </c>
      <c r="G2110" s="3">
        <v>2016</v>
      </c>
      <c r="H2110" s="3" t="str">
        <f>CONCATENATE("64240211140")</f>
        <v>64240211140</v>
      </c>
      <c r="I2110" s="3" t="s">
        <v>25</v>
      </c>
      <c r="J2110" s="3" t="s">
        <v>26</v>
      </c>
      <c r="K2110" s="3" t="str">
        <f t="shared" si="66"/>
        <v/>
      </c>
      <c r="L2110" s="3" t="str">
        <f>CONCATENATE("11 11.1 4b")</f>
        <v>11 11.1 4b</v>
      </c>
      <c r="M2110" s="3" t="str">
        <f>CONCATENATE("CNCRND75M13F347O")</f>
        <v>CNCRND75M13F347O</v>
      </c>
      <c r="N2110" s="3" t="s">
        <v>2088</v>
      </c>
      <c r="O2110" s="3"/>
      <c r="P2110" s="4">
        <v>42783</v>
      </c>
      <c r="Q2110" s="3" t="s">
        <v>27</v>
      </c>
      <c r="R2110" s="3" t="s">
        <v>28</v>
      </c>
      <c r="S2110" s="3" t="s">
        <v>29</v>
      </c>
      <c r="T2110" s="5">
        <v>3867.25</v>
      </c>
      <c r="U2110" s="5">
        <v>1667.56</v>
      </c>
      <c r="V2110" s="5">
        <v>1539.94</v>
      </c>
      <c r="W2110" s="3">
        <v>659.75</v>
      </c>
    </row>
    <row r="2111" spans="1:23" ht="60.75">
      <c r="A2111" s="3" t="s">
        <v>23</v>
      </c>
      <c r="B2111" s="3" t="s">
        <v>24</v>
      </c>
      <c r="C2111" s="3" t="s">
        <v>35</v>
      </c>
      <c r="D2111" s="3" t="s">
        <v>39</v>
      </c>
      <c r="E2111" s="3" t="s">
        <v>30</v>
      </c>
      <c r="F2111" s="3" t="s">
        <v>84</v>
      </c>
      <c r="G2111" s="3">
        <v>2016</v>
      </c>
      <c r="H2111" s="3" t="str">
        <f>CONCATENATE("64240168084")</f>
        <v>64240168084</v>
      </c>
      <c r="I2111" s="3" t="s">
        <v>25</v>
      </c>
      <c r="J2111" s="3" t="s">
        <v>26</v>
      </c>
      <c r="K2111" s="3" t="str">
        <f t="shared" si="66"/>
        <v/>
      </c>
      <c r="L2111" s="3" t="str">
        <f>CONCATENATE("11 11.2 4b")</f>
        <v>11 11.2 4b</v>
      </c>
      <c r="M2111" s="3" t="str">
        <f>CONCATENATE("NSNPTR50P29C267R")</f>
        <v>NSNPTR50P29C267R</v>
      </c>
      <c r="N2111" s="3" t="s">
        <v>2089</v>
      </c>
      <c r="O2111" s="3"/>
      <c r="P2111" s="4">
        <v>42783</v>
      </c>
      <c r="Q2111" s="3" t="s">
        <v>27</v>
      </c>
      <c r="R2111" s="3" t="s">
        <v>28</v>
      </c>
      <c r="S2111" s="3" t="s">
        <v>29</v>
      </c>
      <c r="T2111" s="5">
        <v>3548.59</v>
      </c>
      <c r="U2111" s="5">
        <v>1530.15</v>
      </c>
      <c r="V2111" s="5">
        <v>1413.05</v>
      </c>
      <c r="W2111" s="3">
        <v>605.39</v>
      </c>
    </row>
    <row r="2112" spans="1:23" ht="60.75">
      <c r="A2112" s="3" t="s">
        <v>23</v>
      </c>
      <c r="B2112" s="3" t="s">
        <v>24</v>
      </c>
      <c r="C2112" s="3" t="s">
        <v>35</v>
      </c>
      <c r="D2112" s="3" t="s">
        <v>48</v>
      </c>
      <c r="E2112" s="3" t="s">
        <v>30</v>
      </c>
      <c r="F2112" s="3" t="s">
        <v>157</v>
      </c>
      <c r="G2112" s="3">
        <v>2016</v>
      </c>
      <c r="H2112" s="3" t="str">
        <f>CONCATENATE("64240726188")</f>
        <v>64240726188</v>
      </c>
      <c r="I2112" s="3" t="s">
        <v>25</v>
      </c>
      <c r="J2112" s="3" t="s">
        <v>26</v>
      </c>
      <c r="K2112" s="3" t="str">
        <f t="shared" si="66"/>
        <v/>
      </c>
      <c r="L2112" s="3" t="str">
        <f>CONCATENATE("11 11.2 4b")</f>
        <v>11 11.2 4b</v>
      </c>
      <c r="M2112" s="3" t="str">
        <f>CONCATENATE("STFMRA66L18B474F")</f>
        <v>STFMRA66L18B474F</v>
      </c>
      <c r="N2112" s="3" t="s">
        <v>649</v>
      </c>
      <c r="O2112" s="3"/>
      <c r="P2112" s="4">
        <v>42783</v>
      </c>
      <c r="Q2112" s="3" t="s">
        <v>27</v>
      </c>
      <c r="R2112" s="3" t="s">
        <v>28</v>
      </c>
      <c r="S2112" s="3" t="s">
        <v>29</v>
      </c>
      <c r="T2112" s="5">
        <v>2966.89</v>
      </c>
      <c r="U2112" s="5">
        <v>1279.32</v>
      </c>
      <c r="V2112" s="5">
        <v>1181.42</v>
      </c>
      <c r="W2112" s="3">
        <v>506.15</v>
      </c>
    </row>
    <row r="2113" spans="1:23" ht="72.75">
      <c r="A2113" s="3" t="s">
        <v>23</v>
      </c>
      <c r="B2113" s="3" t="s">
        <v>24</v>
      </c>
      <c r="C2113" s="3" t="s">
        <v>35</v>
      </c>
      <c r="D2113" s="3" t="s">
        <v>36</v>
      </c>
      <c r="E2113" s="3" t="s">
        <v>30</v>
      </c>
      <c r="F2113" s="3" t="s">
        <v>53</v>
      </c>
      <c r="G2113" s="3">
        <v>2016</v>
      </c>
      <c r="H2113" s="3" t="str">
        <f>CONCATENATE("64240560124")</f>
        <v>64240560124</v>
      </c>
      <c r="I2113" s="3" t="s">
        <v>25</v>
      </c>
      <c r="J2113" s="3" t="s">
        <v>26</v>
      </c>
      <c r="K2113" s="3" t="str">
        <f t="shared" si="66"/>
        <v/>
      </c>
      <c r="L2113" s="3" t="str">
        <f>CONCATENATE("11 11.2 4b")</f>
        <v>11 11.2 4b</v>
      </c>
      <c r="M2113" s="3" t="str">
        <f>CONCATENATE("CRSRCR46A12H321H")</f>
        <v>CRSRCR46A12H321H</v>
      </c>
      <c r="N2113" s="3" t="s">
        <v>2090</v>
      </c>
      <c r="O2113" s="3"/>
      <c r="P2113" s="4">
        <v>42783</v>
      </c>
      <c r="Q2113" s="3" t="s">
        <v>27</v>
      </c>
      <c r="R2113" s="3" t="s">
        <v>28</v>
      </c>
      <c r="S2113" s="3" t="s">
        <v>29</v>
      </c>
      <c r="T2113" s="5">
        <v>2631.48</v>
      </c>
      <c r="U2113" s="5">
        <v>1134.69</v>
      </c>
      <c r="V2113" s="5">
        <v>1047.8599999999999</v>
      </c>
      <c r="W2113" s="3">
        <v>448.93</v>
      </c>
    </row>
    <row r="2114" spans="1:23" ht="60.75">
      <c r="A2114" s="3" t="s">
        <v>23</v>
      </c>
      <c r="B2114" s="3" t="s">
        <v>24</v>
      </c>
      <c r="C2114" s="3" t="s">
        <v>35</v>
      </c>
      <c r="D2114" s="3" t="s">
        <v>36</v>
      </c>
      <c r="E2114" s="3" t="s">
        <v>30</v>
      </c>
      <c r="F2114" s="3" t="s">
        <v>257</v>
      </c>
      <c r="G2114" s="3">
        <v>2016</v>
      </c>
      <c r="H2114" s="3" t="str">
        <f>CONCATENATE("64240850426")</f>
        <v>64240850426</v>
      </c>
      <c r="I2114" s="3" t="s">
        <v>25</v>
      </c>
      <c r="J2114" s="3" t="s">
        <v>26</v>
      </c>
      <c r="K2114" s="3" t="str">
        <f t="shared" si="66"/>
        <v/>
      </c>
      <c r="L2114" s="3" t="str">
        <f>CONCATENATE("10 10.1 4a")</f>
        <v>10 10.1 4a</v>
      </c>
      <c r="M2114" s="3" t="str">
        <f>CONCATENATE("VTISMN91C08C770O")</f>
        <v>VTISMN91C08C770O</v>
      </c>
      <c r="N2114" s="3" t="s">
        <v>1415</v>
      </c>
      <c r="O2114" s="3"/>
      <c r="P2114" s="4">
        <v>42783</v>
      </c>
      <c r="Q2114" s="3" t="s">
        <v>27</v>
      </c>
      <c r="R2114" s="3" t="s">
        <v>28</v>
      </c>
      <c r="S2114" s="3" t="s">
        <v>29</v>
      </c>
      <c r="T2114" s="5">
        <v>1121.6199999999999</v>
      </c>
      <c r="U2114" s="3">
        <v>483.64</v>
      </c>
      <c r="V2114" s="3">
        <v>446.63</v>
      </c>
      <c r="W2114" s="3">
        <v>191.35</v>
      </c>
    </row>
    <row r="2115" spans="1:23" ht="60.75">
      <c r="A2115" s="3" t="s">
        <v>23</v>
      </c>
      <c r="B2115" s="3" t="s">
        <v>24</v>
      </c>
      <c r="C2115" s="3" t="s">
        <v>35</v>
      </c>
      <c r="D2115" s="3" t="s">
        <v>39</v>
      </c>
      <c r="E2115" s="3" t="s">
        <v>30</v>
      </c>
      <c r="F2115" s="3" t="s">
        <v>97</v>
      </c>
      <c r="G2115" s="3">
        <v>2016</v>
      </c>
      <c r="H2115" s="3" t="str">
        <f>CONCATENATE("64240218756")</f>
        <v>64240218756</v>
      </c>
      <c r="I2115" s="3" t="s">
        <v>31</v>
      </c>
      <c r="J2115" s="3" t="s">
        <v>26</v>
      </c>
      <c r="K2115" s="3" t="str">
        <f t="shared" si="66"/>
        <v/>
      </c>
      <c r="L2115" s="3" t="str">
        <f>CONCATENATE("11 11.2 4b")</f>
        <v>11 11.2 4b</v>
      </c>
      <c r="M2115" s="3" t="str">
        <f>CONCATENATE("CSVLNZ61M50G157B")</f>
        <v>CSVLNZ61M50G157B</v>
      </c>
      <c r="N2115" s="3" t="s">
        <v>2091</v>
      </c>
      <c r="O2115" s="3"/>
      <c r="P2115" s="4">
        <v>42783</v>
      </c>
      <c r="Q2115" s="3" t="s">
        <v>27</v>
      </c>
      <c r="R2115" s="3" t="s">
        <v>28</v>
      </c>
      <c r="S2115" s="3" t="s">
        <v>29</v>
      </c>
      <c r="T2115" s="5">
        <v>3249.81</v>
      </c>
      <c r="U2115" s="5">
        <v>1401.32</v>
      </c>
      <c r="V2115" s="5">
        <v>1294.07</v>
      </c>
      <c r="W2115" s="3">
        <v>554.41999999999996</v>
      </c>
    </row>
    <row r="2116" spans="1:23" ht="60.75">
      <c r="A2116" s="3" t="s">
        <v>23</v>
      </c>
      <c r="B2116" s="3" t="s">
        <v>24</v>
      </c>
      <c r="C2116" s="3" t="s">
        <v>35</v>
      </c>
      <c r="D2116" s="3" t="s">
        <v>43</v>
      </c>
      <c r="E2116" s="3" t="s">
        <v>30</v>
      </c>
      <c r="F2116" s="3" t="s">
        <v>76</v>
      </c>
      <c r="G2116" s="3">
        <v>2016</v>
      </c>
      <c r="H2116" s="3" t="str">
        <f>CONCATENATE("64240298535")</f>
        <v>64240298535</v>
      </c>
      <c r="I2116" s="3" t="s">
        <v>25</v>
      </c>
      <c r="J2116" s="3" t="s">
        <v>26</v>
      </c>
      <c r="K2116" s="3" t="str">
        <f t="shared" si="66"/>
        <v/>
      </c>
      <c r="L2116" s="3" t="str">
        <f>CONCATENATE("11 11.1 4b")</f>
        <v>11 11.1 4b</v>
      </c>
      <c r="M2116" s="3" t="str">
        <f>CONCATENATE("PLMBHS62R03A895L")</f>
        <v>PLMBHS62R03A895L</v>
      </c>
      <c r="N2116" s="3" t="s">
        <v>2092</v>
      </c>
      <c r="O2116" s="3"/>
      <c r="P2116" s="4">
        <v>42783</v>
      </c>
      <c r="Q2116" s="3" t="s">
        <v>27</v>
      </c>
      <c r="R2116" s="3" t="s">
        <v>28</v>
      </c>
      <c r="S2116" s="3" t="s">
        <v>29</v>
      </c>
      <c r="T2116" s="5">
        <v>6526.12</v>
      </c>
      <c r="U2116" s="5">
        <v>2814.06</v>
      </c>
      <c r="V2116" s="5">
        <v>2598.6999999999998</v>
      </c>
      <c r="W2116" s="5">
        <v>1113.3599999999999</v>
      </c>
    </row>
    <row r="2117" spans="1:23" ht="60.75">
      <c r="A2117" s="3" t="s">
        <v>23</v>
      </c>
      <c r="B2117" s="3" t="s">
        <v>24</v>
      </c>
      <c r="C2117" s="3" t="s">
        <v>35</v>
      </c>
      <c r="D2117" s="3" t="s">
        <v>36</v>
      </c>
      <c r="E2117" s="3" t="s">
        <v>32</v>
      </c>
      <c r="F2117" s="3" t="s">
        <v>208</v>
      </c>
      <c r="G2117" s="3">
        <v>2016</v>
      </c>
      <c r="H2117" s="3" t="str">
        <f>CONCATENATE("64240271607")</f>
        <v>64240271607</v>
      </c>
      <c r="I2117" s="3" t="s">
        <v>25</v>
      </c>
      <c r="J2117" s="3" t="s">
        <v>26</v>
      </c>
      <c r="K2117" s="3" t="str">
        <f t="shared" si="66"/>
        <v/>
      </c>
      <c r="L2117" s="3" t="str">
        <f>CONCATENATE("11 11.2 4b")</f>
        <v>11 11.2 4b</v>
      </c>
      <c r="M2117" s="3" t="str">
        <f>CONCATENATE("STRPTR40T01G005Y")</f>
        <v>STRPTR40T01G005Y</v>
      </c>
      <c r="N2117" s="3" t="s">
        <v>2093</v>
      </c>
      <c r="O2117" s="3"/>
      <c r="P2117" s="4">
        <v>42783</v>
      </c>
      <c r="Q2117" s="3" t="s">
        <v>27</v>
      </c>
      <c r="R2117" s="3" t="s">
        <v>28</v>
      </c>
      <c r="S2117" s="3" t="s">
        <v>29</v>
      </c>
      <c r="T2117" s="5">
        <v>1969.48</v>
      </c>
      <c r="U2117" s="3">
        <v>849.24</v>
      </c>
      <c r="V2117" s="3">
        <v>784.25</v>
      </c>
      <c r="W2117" s="3">
        <v>335.99</v>
      </c>
    </row>
    <row r="2118" spans="1:23" ht="60.75">
      <c r="A2118" s="3" t="s">
        <v>23</v>
      </c>
      <c r="B2118" s="3" t="s">
        <v>24</v>
      </c>
      <c r="C2118" s="3" t="s">
        <v>35</v>
      </c>
      <c r="D2118" s="3" t="s">
        <v>36</v>
      </c>
      <c r="E2118" s="3" t="s">
        <v>59</v>
      </c>
      <c r="F2118" s="3" t="s">
        <v>910</v>
      </c>
      <c r="G2118" s="3">
        <v>2016</v>
      </c>
      <c r="H2118" s="3" t="str">
        <f>CONCATENATE("64240669073")</f>
        <v>64240669073</v>
      </c>
      <c r="I2118" s="3" t="s">
        <v>25</v>
      </c>
      <c r="J2118" s="3" t="s">
        <v>26</v>
      </c>
      <c r="K2118" s="3" t="str">
        <f t="shared" si="66"/>
        <v/>
      </c>
      <c r="L2118" s="3" t="str">
        <f>CONCATENATE("11 11.2 4b")</f>
        <v>11 11.2 4b</v>
      </c>
      <c r="M2118" s="3" t="str">
        <f>CONCATENATE("SPNSLV85L63H501V")</f>
        <v>SPNSLV85L63H501V</v>
      </c>
      <c r="N2118" s="3" t="s">
        <v>2094</v>
      </c>
      <c r="O2118" s="3"/>
      <c r="P2118" s="4">
        <v>42783</v>
      </c>
      <c r="Q2118" s="3" t="s">
        <v>27</v>
      </c>
      <c r="R2118" s="3" t="s">
        <v>28</v>
      </c>
      <c r="S2118" s="3" t="s">
        <v>29</v>
      </c>
      <c r="T2118" s="5">
        <v>10073.049999999999</v>
      </c>
      <c r="U2118" s="5">
        <v>4343.5</v>
      </c>
      <c r="V2118" s="5">
        <v>4011.09</v>
      </c>
      <c r="W2118" s="5">
        <v>1718.46</v>
      </c>
    </row>
    <row r="2119" spans="1:23" ht="72.75">
      <c r="A2119" s="3" t="s">
        <v>23</v>
      </c>
      <c r="B2119" s="3" t="s">
        <v>24</v>
      </c>
      <c r="C2119" s="3" t="s">
        <v>35</v>
      </c>
      <c r="D2119" s="3" t="s">
        <v>43</v>
      </c>
      <c r="E2119" s="3" t="s">
        <v>33</v>
      </c>
      <c r="F2119" s="3" t="s">
        <v>848</v>
      </c>
      <c r="G2119" s="3">
        <v>2016</v>
      </c>
      <c r="H2119" s="3" t="str">
        <f>CONCATENATE("64240689089")</f>
        <v>64240689089</v>
      </c>
      <c r="I2119" s="3" t="s">
        <v>25</v>
      </c>
      <c r="J2119" s="3" t="s">
        <v>26</v>
      </c>
      <c r="K2119" s="3" t="str">
        <f t="shared" si="66"/>
        <v/>
      </c>
      <c r="L2119" s="3" t="str">
        <f>CONCATENATE("11 11.2 4b")</f>
        <v>11 11.2 4b</v>
      </c>
      <c r="M2119" s="3" t="str">
        <f>CONCATENATE("DMNMSM62H11F497U")</f>
        <v>DMNMSM62H11F497U</v>
      </c>
      <c r="N2119" s="3" t="s">
        <v>2095</v>
      </c>
      <c r="O2119" s="3"/>
      <c r="P2119" s="4">
        <v>42783</v>
      </c>
      <c r="Q2119" s="3" t="s">
        <v>27</v>
      </c>
      <c r="R2119" s="3" t="s">
        <v>28</v>
      </c>
      <c r="S2119" s="3" t="s">
        <v>29</v>
      </c>
      <c r="T2119" s="5">
        <v>5358.55</v>
      </c>
      <c r="U2119" s="5">
        <v>2310.61</v>
      </c>
      <c r="V2119" s="5">
        <v>2133.77</v>
      </c>
      <c r="W2119" s="3">
        <v>914.17</v>
      </c>
    </row>
    <row r="2120" spans="1:23" ht="72.75">
      <c r="A2120" s="3" t="s">
        <v>23</v>
      </c>
      <c r="B2120" s="3" t="s">
        <v>24</v>
      </c>
      <c r="C2120" s="3" t="s">
        <v>35</v>
      </c>
      <c r="D2120" s="3" t="s">
        <v>43</v>
      </c>
      <c r="E2120" s="3" t="s">
        <v>30</v>
      </c>
      <c r="F2120" s="3" t="s">
        <v>199</v>
      </c>
      <c r="G2120" s="3">
        <v>2016</v>
      </c>
      <c r="H2120" s="3" t="str">
        <f>CONCATENATE("64240724696")</f>
        <v>64240724696</v>
      </c>
      <c r="I2120" s="3" t="s">
        <v>25</v>
      </c>
      <c r="J2120" s="3" t="s">
        <v>26</v>
      </c>
      <c r="K2120" s="3" t="str">
        <f t="shared" si="66"/>
        <v/>
      </c>
      <c r="L2120" s="3" t="str">
        <f>CONCATENATE("11 11.1 4b")</f>
        <v>11 11.1 4b</v>
      </c>
      <c r="M2120" s="3" t="str">
        <f>CONCATENATE("MRNHRY77B21D488D")</f>
        <v>MRNHRY77B21D488D</v>
      </c>
      <c r="N2120" s="3" t="s">
        <v>2096</v>
      </c>
      <c r="O2120" s="3"/>
      <c r="P2120" s="4">
        <v>42783</v>
      </c>
      <c r="Q2120" s="3" t="s">
        <v>27</v>
      </c>
      <c r="R2120" s="3" t="s">
        <v>28</v>
      </c>
      <c r="S2120" s="3" t="s">
        <v>29</v>
      </c>
      <c r="T2120" s="5">
        <v>1113.43</v>
      </c>
      <c r="U2120" s="3">
        <v>480.11</v>
      </c>
      <c r="V2120" s="3">
        <v>443.37</v>
      </c>
      <c r="W2120" s="3">
        <v>189.95</v>
      </c>
    </row>
    <row r="2121" spans="1:23" ht="60.75">
      <c r="A2121" s="3" t="s">
        <v>23</v>
      </c>
      <c r="B2121" s="3" t="s">
        <v>24</v>
      </c>
      <c r="C2121" s="3" t="s">
        <v>35</v>
      </c>
      <c r="D2121" s="3" t="s">
        <v>43</v>
      </c>
      <c r="E2121" s="3" t="s">
        <v>30</v>
      </c>
      <c r="F2121" s="3" t="s">
        <v>76</v>
      </c>
      <c r="G2121" s="3">
        <v>2016</v>
      </c>
      <c r="H2121" s="3" t="str">
        <f>CONCATENATE("64210128308")</f>
        <v>64210128308</v>
      </c>
      <c r="I2121" s="3" t="s">
        <v>25</v>
      </c>
      <c r="J2121" s="3" t="s">
        <v>26</v>
      </c>
      <c r="K2121" s="3" t="str">
        <f t="shared" si="66"/>
        <v/>
      </c>
      <c r="L2121" s="3" t="str">
        <f>CONCATENATE("13 13.1 4a")</f>
        <v>13 13.1 4a</v>
      </c>
      <c r="M2121" s="3" t="str">
        <f>CONCATENATE("LVIRNT62R17F478B")</f>
        <v>LVIRNT62R17F478B</v>
      </c>
      <c r="N2121" s="3" t="s">
        <v>2097</v>
      </c>
      <c r="O2121" s="3"/>
      <c r="P2121" s="4">
        <v>42783</v>
      </c>
      <c r="Q2121" s="3" t="s">
        <v>27</v>
      </c>
      <c r="R2121" s="3" t="s">
        <v>28</v>
      </c>
      <c r="S2121" s="3" t="s">
        <v>29</v>
      </c>
      <c r="T2121" s="5">
        <v>1160.32</v>
      </c>
      <c r="U2121" s="3">
        <v>500.33</v>
      </c>
      <c r="V2121" s="3">
        <v>462.04</v>
      </c>
      <c r="W2121" s="3">
        <v>197.95</v>
      </c>
    </row>
    <row r="2122" spans="1:23" ht="60.75">
      <c r="A2122" s="3" t="s">
        <v>23</v>
      </c>
      <c r="B2122" s="3" t="s">
        <v>24</v>
      </c>
      <c r="C2122" s="3" t="s">
        <v>35</v>
      </c>
      <c r="D2122" s="3" t="s">
        <v>36</v>
      </c>
      <c r="E2122" s="3" t="s">
        <v>30</v>
      </c>
      <c r="F2122" s="3" t="s">
        <v>86</v>
      </c>
      <c r="G2122" s="3">
        <v>2016</v>
      </c>
      <c r="H2122" s="3" t="str">
        <f>CONCATENATE("64210395543")</f>
        <v>64210395543</v>
      </c>
      <c r="I2122" s="3" t="s">
        <v>25</v>
      </c>
      <c r="J2122" s="3" t="s">
        <v>26</v>
      </c>
      <c r="K2122" s="3" t="str">
        <f t="shared" si="66"/>
        <v/>
      </c>
      <c r="L2122" s="3" t="str">
        <f>CONCATENATE("13 13.1 4a")</f>
        <v>13 13.1 4a</v>
      </c>
      <c r="M2122" s="3" t="str">
        <f>CONCATENATE("RTLVTR34D27A044E")</f>
        <v>RTLVTR34D27A044E</v>
      </c>
      <c r="N2122" s="3" t="s">
        <v>2098</v>
      </c>
      <c r="O2122" s="3"/>
      <c r="P2122" s="4">
        <v>42783</v>
      </c>
      <c r="Q2122" s="3" t="s">
        <v>27</v>
      </c>
      <c r="R2122" s="3" t="s">
        <v>28</v>
      </c>
      <c r="S2122" s="3" t="s">
        <v>29</v>
      </c>
      <c r="T2122" s="5">
        <v>1430.94</v>
      </c>
      <c r="U2122" s="3">
        <v>617.02</v>
      </c>
      <c r="V2122" s="3">
        <v>569.79999999999995</v>
      </c>
      <c r="W2122" s="3">
        <v>244.12</v>
      </c>
    </row>
    <row r="2123" spans="1:23" ht="72.75">
      <c r="A2123" s="3" t="s">
        <v>23</v>
      </c>
      <c r="B2123" s="3" t="s">
        <v>24</v>
      </c>
      <c r="C2123" s="3" t="s">
        <v>35</v>
      </c>
      <c r="D2123" s="3" t="s">
        <v>43</v>
      </c>
      <c r="E2123" s="3" t="s">
        <v>34</v>
      </c>
      <c r="F2123" s="3" t="s">
        <v>146</v>
      </c>
      <c r="G2123" s="3">
        <v>2016</v>
      </c>
      <c r="H2123" s="3" t="str">
        <f>CONCATENATE("64240148078")</f>
        <v>64240148078</v>
      </c>
      <c r="I2123" s="3" t="s">
        <v>25</v>
      </c>
      <c r="J2123" s="3" t="s">
        <v>26</v>
      </c>
      <c r="K2123" s="3" t="str">
        <f t="shared" si="66"/>
        <v/>
      </c>
      <c r="L2123" s="3" t="str">
        <f>CONCATENATE("11 11.1 4b")</f>
        <v>11 11.1 4b</v>
      </c>
      <c r="M2123" s="3" t="str">
        <f>CONCATENATE("NCLSRA68R02G479B")</f>
        <v>NCLSRA68R02G479B</v>
      </c>
      <c r="N2123" s="3" t="s">
        <v>2099</v>
      </c>
      <c r="O2123" s="3"/>
      <c r="P2123" s="4">
        <v>42783</v>
      </c>
      <c r="Q2123" s="3" t="s">
        <v>27</v>
      </c>
      <c r="R2123" s="3" t="s">
        <v>28</v>
      </c>
      <c r="S2123" s="3" t="s">
        <v>29</v>
      </c>
      <c r="T2123" s="5">
        <v>4069.57</v>
      </c>
      <c r="U2123" s="5">
        <v>1754.8</v>
      </c>
      <c r="V2123" s="5">
        <v>1620.5</v>
      </c>
      <c r="W2123" s="3">
        <v>694.27</v>
      </c>
    </row>
    <row r="2124" spans="1:23" ht="36.75">
      <c r="A2124" s="3" t="s">
        <v>23</v>
      </c>
      <c r="B2124" s="3" t="s">
        <v>24</v>
      </c>
      <c r="C2124" s="3" t="s">
        <v>35</v>
      </c>
      <c r="D2124" s="3" t="s">
        <v>43</v>
      </c>
      <c r="E2124" s="3" t="s">
        <v>49</v>
      </c>
      <c r="F2124" s="3" t="s">
        <v>139</v>
      </c>
      <c r="G2124" s="3">
        <v>2016</v>
      </c>
      <c r="H2124" s="3" t="str">
        <f>CONCATENATE("64240382222")</f>
        <v>64240382222</v>
      </c>
      <c r="I2124" s="3" t="s">
        <v>25</v>
      </c>
      <c r="J2124" s="3" t="s">
        <v>26</v>
      </c>
      <c r="K2124" s="3" t="str">
        <f t="shared" si="66"/>
        <v/>
      </c>
      <c r="L2124" s="3" t="str">
        <f>CONCATENATE("11 11.2 4b")</f>
        <v>11 11.2 4b</v>
      </c>
      <c r="M2124" s="3" t="str">
        <f>CONCATENATE("02208380416")</f>
        <v>02208380416</v>
      </c>
      <c r="N2124" s="3" t="s">
        <v>2086</v>
      </c>
      <c r="O2124" s="3"/>
      <c r="P2124" s="4">
        <v>42783</v>
      </c>
      <c r="Q2124" s="3" t="s">
        <v>27</v>
      </c>
      <c r="R2124" s="3" t="s">
        <v>28</v>
      </c>
      <c r="S2124" s="3" t="s">
        <v>29</v>
      </c>
      <c r="T2124" s="5">
        <v>3361.09</v>
      </c>
      <c r="U2124" s="5">
        <v>1449.3</v>
      </c>
      <c r="V2124" s="5">
        <v>1338.39</v>
      </c>
      <c r="W2124" s="3">
        <v>573.4</v>
      </c>
    </row>
    <row r="2125" spans="1:23" ht="72.75">
      <c r="A2125" s="3" t="s">
        <v>23</v>
      </c>
      <c r="B2125" s="3" t="s">
        <v>24</v>
      </c>
      <c r="C2125" s="3" t="s">
        <v>35</v>
      </c>
      <c r="D2125" s="3" t="s">
        <v>43</v>
      </c>
      <c r="E2125" s="3" t="s">
        <v>32</v>
      </c>
      <c r="F2125" s="3" t="s">
        <v>78</v>
      </c>
      <c r="G2125" s="3">
        <v>2016</v>
      </c>
      <c r="H2125" s="3" t="str">
        <f>CONCATENATE("64240567160")</f>
        <v>64240567160</v>
      </c>
      <c r="I2125" s="3" t="s">
        <v>25</v>
      </c>
      <c r="J2125" s="3" t="s">
        <v>26</v>
      </c>
      <c r="K2125" s="3" t="str">
        <f t="shared" si="66"/>
        <v/>
      </c>
      <c r="L2125" s="3" t="str">
        <f>CONCATENATE("11 11.2 4b")</f>
        <v>11 11.2 4b</v>
      </c>
      <c r="M2125" s="3" t="str">
        <f>CONCATENATE("MGGMNL49C66L781G")</f>
        <v>MGGMNL49C66L781G</v>
      </c>
      <c r="N2125" s="3" t="s">
        <v>2100</v>
      </c>
      <c r="O2125" s="3"/>
      <c r="P2125" s="4">
        <v>42783</v>
      </c>
      <c r="Q2125" s="3" t="s">
        <v>27</v>
      </c>
      <c r="R2125" s="3" t="s">
        <v>28</v>
      </c>
      <c r="S2125" s="3" t="s">
        <v>29</v>
      </c>
      <c r="T2125" s="5">
        <v>1879.15</v>
      </c>
      <c r="U2125" s="3">
        <v>810.29</v>
      </c>
      <c r="V2125" s="3">
        <v>748.28</v>
      </c>
      <c r="W2125" s="3">
        <v>320.58</v>
      </c>
    </row>
    <row r="2126" spans="1:23" ht="60.75">
      <c r="A2126" s="3" t="s">
        <v>23</v>
      </c>
      <c r="B2126" s="3" t="s">
        <v>24</v>
      </c>
      <c r="C2126" s="3" t="s">
        <v>35</v>
      </c>
      <c r="D2126" s="3" t="s">
        <v>39</v>
      </c>
      <c r="E2126" s="3" t="s">
        <v>32</v>
      </c>
      <c r="F2126" s="3" t="s">
        <v>117</v>
      </c>
      <c r="G2126" s="3">
        <v>2016</v>
      </c>
      <c r="H2126" s="3" t="str">
        <f>CONCATENATE("64240486478")</f>
        <v>64240486478</v>
      </c>
      <c r="I2126" s="3" t="s">
        <v>25</v>
      </c>
      <c r="J2126" s="3" t="s">
        <v>26</v>
      </c>
      <c r="K2126" s="3" t="str">
        <f t="shared" si="66"/>
        <v/>
      </c>
      <c r="L2126" s="3" t="str">
        <f>CONCATENATE("11 11.1 4b")</f>
        <v>11 11.1 4b</v>
      </c>
      <c r="M2126" s="3" t="str">
        <f>CONCATENATE("RSRNDA77B66I608L")</f>
        <v>RSRNDA77B66I608L</v>
      </c>
      <c r="N2126" s="3" t="s">
        <v>2101</v>
      </c>
      <c r="O2126" s="3"/>
      <c r="P2126" s="4">
        <v>42783</v>
      </c>
      <c r="Q2126" s="3" t="s">
        <v>27</v>
      </c>
      <c r="R2126" s="3" t="s">
        <v>28</v>
      </c>
      <c r="S2126" s="3" t="s">
        <v>29</v>
      </c>
      <c r="T2126" s="3">
        <v>889.79</v>
      </c>
      <c r="U2126" s="3">
        <v>383.68</v>
      </c>
      <c r="V2126" s="3">
        <v>354.31</v>
      </c>
      <c r="W2126" s="3">
        <v>151.80000000000001</v>
      </c>
    </row>
    <row r="2127" spans="1:23" ht="60.75">
      <c r="A2127" s="3" t="s">
        <v>23</v>
      </c>
      <c r="B2127" s="3" t="s">
        <v>24</v>
      </c>
      <c r="C2127" s="3" t="s">
        <v>35</v>
      </c>
      <c r="D2127" s="3" t="s">
        <v>43</v>
      </c>
      <c r="E2127" s="3" t="s">
        <v>32</v>
      </c>
      <c r="F2127" s="3" t="s">
        <v>78</v>
      </c>
      <c r="G2127" s="3">
        <v>2016</v>
      </c>
      <c r="H2127" s="3" t="str">
        <f>CONCATENATE("64240336848")</f>
        <v>64240336848</v>
      </c>
      <c r="I2127" s="3" t="s">
        <v>25</v>
      </c>
      <c r="J2127" s="3" t="s">
        <v>26</v>
      </c>
      <c r="K2127" s="3" t="str">
        <f t="shared" si="66"/>
        <v/>
      </c>
      <c r="L2127" s="3" t="str">
        <f>CONCATENATE("11 11.1 4b")</f>
        <v>11 11.1 4b</v>
      </c>
      <c r="M2127" s="3" t="str">
        <f>CONCATENATE("TNTPLA59A65D541S")</f>
        <v>TNTPLA59A65D541S</v>
      </c>
      <c r="N2127" s="3" t="s">
        <v>2102</v>
      </c>
      <c r="O2127" s="3"/>
      <c r="P2127" s="4">
        <v>42783</v>
      </c>
      <c r="Q2127" s="3" t="s">
        <v>27</v>
      </c>
      <c r="R2127" s="3" t="s">
        <v>28</v>
      </c>
      <c r="S2127" s="3" t="s">
        <v>29</v>
      </c>
      <c r="T2127" s="3">
        <v>638.79</v>
      </c>
      <c r="U2127" s="3">
        <v>275.45</v>
      </c>
      <c r="V2127" s="3">
        <v>254.37</v>
      </c>
      <c r="W2127" s="3">
        <v>108.97</v>
      </c>
    </row>
    <row r="2128" spans="1:23" ht="60.75">
      <c r="A2128" s="3" t="s">
        <v>23</v>
      </c>
      <c r="B2128" s="3" t="s">
        <v>24</v>
      </c>
      <c r="C2128" s="3" t="s">
        <v>35</v>
      </c>
      <c r="D2128" s="3" t="s">
        <v>48</v>
      </c>
      <c r="E2128" s="3" t="s">
        <v>59</v>
      </c>
      <c r="F2128" s="3" t="s">
        <v>240</v>
      </c>
      <c r="G2128" s="3">
        <v>2016</v>
      </c>
      <c r="H2128" s="3" t="str">
        <f>CONCATENATE("64240359717")</f>
        <v>64240359717</v>
      </c>
      <c r="I2128" s="3" t="s">
        <v>31</v>
      </c>
      <c r="J2128" s="3" t="s">
        <v>26</v>
      </c>
      <c r="K2128" s="3" t="str">
        <f t="shared" si="66"/>
        <v/>
      </c>
      <c r="L2128" s="3" t="str">
        <f>CONCATENATE("11 11.2 4b")</f>
        <v>11 11.2 4b</v>
      </c>
      <c r="M2128" s="3" t="str">
        <f>CONCATENATE("GLSSRH84B53I156E")</f>
        <v>GLSSRH84B53I156E</v>
      </c>
      <c r="N2128" s="3" t="s">
        <v>2103</v>
      </c>
      <c r="O2128" s="3"/>
      <c r="P2128" s="4">
        <v>42783</v>
      </c>
      <c r="Q2128" s="3" t="s">
        <v>27</v>
      </c>
      <c r="R2128" s="3" t="s">
        <v>28</v>
      </c>
      <c r="S2128" s="3" t="s">
        <v>29</v>
      </c>
      <c r="T2128" s="3">
        <v>328.32</v>
      </c>
      <c r="U2128" s="3">
        <v>141.57</v>
      </c>
      <c r="V2128" s="3">
        <v>130.74</v>
      </c>
      <c r="W2128" s="3">
        <v>56.01</v>
      </c>
    </row>
    <row r="2129" spans="1:23" ht="60.75">
      <c r="A2129" s="3" t="s">
        <v>23</v>
      </c>
      <c r="B2129" s="3" t="s">
        <v>24</v>
      </c>
      <c r="C2129" s="3" t="s">
        <v>35</v>
      </c>
      <c r="D2129" s="3" t="s">
        <v>36</v>
      </c>
      <c r="E2129" s="3" t="s">
        <v>42</v>
      </c>
      <c r="F2129" s="3" t="s">
        <v>42</v>
      </c>
      <c r="G2129" s="3">
        <v>2016</v>
      </c>
      <c r="H2129" s="3" t="str">
        <f>CONCATENATE("64240283719")</f>
        <v>64240283719</v>
      </c>
      <c r="I2129" s="3" t="s">
        <v>25</v>
      </c>
      <c r="J2129" s="3" t="s">
        <v>26</v>
      </c>
      <c r="K2129" s="3" t="str">
        <f t="shared" si="66"/>
        <v/>
      </c>
      <c r="L2129" s="3" t="str">
        <f>CONCATENATE("11 11.2 4b")</f>
        <v>11 11.2 4b</v>
      </c>
      <c r="M2129" s="3" t="str">
        <f>CONCATENATE("CSTSDR57D15D096S")</f>
        <v>CSTSDR57D15D096S</v>
      </c>
      <c r="N2129" s="3" t="s">
        <v>2104</v>
      </c>
      <c r="O2129" s="3"/>
      <c r="P2129" s="4">
        <v>42783</v>
      </c>
      <c r="Q2129" s="3" t="s">
        <v>27</v>
      </c>
      <c r="R2129" s="3" t="s">
        <v>28</v>
      </c>
      <c r="S2129" s="3" t="s">
        <v>29</v>
      </c>
      <c r="T2129" s="5">
        <v>3689.69</v>
      </c>
      <c r="U2129" s="5">
        <v>1590.99</v>
      </c>
      <c r="V2129" s="5">
        <v>1469.23</v>
      </c>
      <c r="W2129" s="3">
        <v>629.47</v>
      </c>
    </row>
    <row r="2130" spans="1:23" ht="60.75">
      <c r="A2130" s="3" t="s">
        <v>23</v>
      </c>
      <c r="B2130" s="3" t="s">
        <v>24</v>
      </c>
      <c r="C2130" s="3" t="s">
        <v>35</v>
      </c>
      <c r="D2130" s="3" t="s">
        <v>36</v>
      </c>
      <c r="E2130" s="3" t="s">
        <v>30</v>
      </c>
      <c r="F2130" s="3" t="s">
        <v>37</v>
      </c>
      <c r="G2130" s="3">
        <v>2016</v>
      </c>
      <c r="H2130" s="3" t="str">
        <f>CONCATENATE("64240410247")</f>
        <v>64240410247</v>
      </c>
      <c r="I2130" s="3" t="s">
        <v>25</v>
      </c>
      <c r="J2130" s="3" t="s">
        <v>26</v>
      </c>
      <c r="K2130" s="3" t="str">
        <f t="shared" ref="K2130:K2193" si="67">CONCATENATE("")</f>
        <v/>
      </c>
      <c r="L2130" s="3" t="str">
        <f>CONCATENATE("10 10.1 4b")</f>
        <v>10 10.1 4b</v>
      </c>
      <c r="M2130" s="3" t="str">
        <f>CONCATENATE("MZZRLD34A29F487I")</f>
        <v>MZZRLD34A29F487I</v>
      </c>
      <c r="N2130" s="3" t="s">
        <v>2105</v>
      </c>
      <c r="O2130" s="3"/>
      <c r="P2130" s="4">
        <v>42783</v>
      </c>
      <c r="Q2130" s="3" t="s">
        <v>27</v>
      </c>
      <c r="R2130" s="3" t="s">
        <v>28</v>
      </c>
      <c r="S2130" s="3" t="s">
        <v>29</v>
      </c>
      <c r="T2130" s="5">
        <v>2481.38</v>
      </c>
      <c r="U2130" s="5">
        <v>1069.97</v>
      </c>
      <c r="V2130" s="3">
        <v>988.09</v>
      </c>
      <c r="W2130" s="3">
        <v>423.32</v>
      </c>
    </row>
    <row r="2131" spans="1:23" ht="60.75">
      <c r="A2131" s="3" t="s">
        <v>23</v>
      </c>
      <c r="B2131" s="3" t="s">
        <v>24</v>
      </c>
      <c r="C2131" s="3" t="s">
        <v>35</v>
      </c>
      <c r="D2131" s="3" t="s">
        <v>36</v>
      </c>
      <c r="E2131" s="3" t="s">
        <v>189</v>
      </c>
      <c r="F2131" s="3" t="s">
        <v>1008</v>
      </c>
      <c r="G2131" s="3">
        <v>2016</v>
      </c>
      <c r="H2131" s="3" t="str">
        <f>CONCATENATE("64211101510")</f>
        <v>64211101510</v>
      </c>
      <c r="I2131" s="3" t="s">
        <v>25</v>
      </c>
      <c r="J2131" s="3" t="s">
        <v>26</v>
      </c>
      <c r="K2131" s="3" t="str">
        <f t="shared" si="67"/>
        <v/>
      </c>
      <c r="L2131" s="3" t="str">
        <f>CONCATENATE("13 13.1 4a")</f>
        <v>13 13.1 4a</v>
      </c>
      <c r="M2131" s="3" t="str">
        <f>CONCATENATE("LNRNTN34L23F570L")</f>
        <v>LNRNTN34L23F570L</v>
      </c>
      <c r="N2131" s="3" t="s">
        <v>2106</v>
      </c>
      <c r="O2131" s="3"/>
      <c r="P2131" s="4">
        <v>42783</v>
      </c>
      <c r="Q2131" s="3" t="s">
        <v>27</v>
      </c>
      <c r="R2131" s="3" t="s">
        <v>28</v>
      </c>
      <c r="S2131" s="3" t="s">
        <v>29</v>
      </c>
      <c r="T2131" s="3">
        <v>557.07000000000005</v>
      </c>
      <c r="U2131" s="3">
        <v>240.21</v>
      </c>
      <c r="V2131" s="3">
        <v>221.83</v>
      </c>
      <c r="W2131" s="3">
        <v>95.03</v>
      </c>
    </row>
    <row r="2132" spans="1:23" ht="60.75">
      <c r="A2132" s="3" t="s">
        <v>23</v>
      </c>
      <c r="B2132" s="3" t="s">
        <v>24</v>
      </c>
      <c r="C2132" s="3" t="s">
        <v>35</v>
      </c>
      <c r="D2132" s="3" t="s">
        <v>43</v>
      </c>
      <c r="E2132" s="3" t="s">
        <v>30</v>
      </c>
      <c r="F2132" s="3" t="s">
        <v>76</v>
      </c>
      <c r="G2132" s="3">
        <v>2016</v>
      </c>
      <c r="H2132" s="3" t="str">
        <f>CONCATENATE("64210140311")</f>
        <v>64210140311</v>
      </c>
      <c r="I2132" s="3" t="s">
        <v>25</v>
      </c>
      <c r="J2132" s="3" t="s">
        <v>26</v>
      </c>
      <c r="K2132" s="3" t="str">
        <f t="shared" si="67"/>
        <v/>
      </c>
      <c r="L2132" s="3" t="str">
        <f>CONCATENATE("13 13.1 4a")</f>
        <v>13 13.1 4a</v>
      </c>
      <c r="M2132" s="3" t="str">
        <f>CONCATENATE("MRTQNT44A23F524A")</f>
        <v>MRTQNT44A23F524A</v>
      </c>
      <c r="N2132" s="3" t="s">
        <v>2107</v>
      </c>
      <c r="O2132" s="3"/>
      <c r="P2132" s="4">
        <v>42783</v>
      </c>
      <c r="Q2132" s="3" t="s">
        <v>27</v>
      </c>
      <c r="R2132" s="3" t="s">
        <v>28</v>
      </c>
      <c r="S2132" s="3" t="s">
        <v>29</v>
      </c>
      <c r="T2132" s="5">
        <v>3707.95</v>
      </c>
      <c r="U2132" s="5">
        <v>1598.87</v>
      </c>
      <c r="V2132" s="5">
        <v>1476.51</v>
      </c>
      <c r="W2132" s="3">
        <v>632.57000000000005</v>
      </c>
    </row>
    <row r="2133" spans="1:23" ht="36.75">
      <c r="A2133" s="3" t="s">
        <v>23</v>
      </c>
      <c r="B2133" s="3" t="s">
        <v>24</v>
      </c>
      <c r="C2133" s="3" t="s">
        <v>35</v>
      </c>
      <c r="D2133" s="3" t="s">
        <v>39</v>
      </c>
      <c r="E2133" s="3" t="s">
        <v>34</v>
      </c>
      <c r="F2133" s="3" t="s">
        <v>170</v>
      </c>
      <c r="G2133" s="3">
        <v>2016</v>
      </c>
      <c r="H2133" s="3" t="str">
        <f>CONCATENATE("64240812699")</f>
        <v>64240812699</v>
      </c>
      <c r="I2133" s="3" t="s">
        <v>25</v>
      </c>
      <c r="J2133" s="3" t="s">
        <v>26</v>
      </c>
      <c r="K2133" s="3" t="str">
        <f t="shared" si="67"/>
        <v/>
      </c>
      <c r="L2133" s="3" t="str">
        <f>CONCATENATE("11 11.2 4b")</f>
        <v>11 11.2 4b</v>
      </c>
      <c r="M2133" s="3" t="str">
        <f>CONCATENATE("12107051000")</f>
        <v>12107051000</v>
      </c>
      <c r="N2133" s="3" t="s">
        <v>2108</v>
      </c>
      <c r="O2133" s="3"/>
      <c r="P2133" s="4">
        <v>42783</v>
      </c>
      <c r="Q2133" s="3" t="s">
        <v>27</v>
      </c>
      <c r="R2133" s="3" t="s">
        <v>28</v>
      </c>
      <c r="S2133" s="3" t="s">
        <v>29</v>
      </c>
      <c r="T2133" s="5">
        <v>4738.9399999999996</v>
      </c>
      <c r="U2133" s="5">
        <v>2043.43</v>
      </c>
      <c r="V2133" s="5">
        <v>1887.05</v>
      </c>
      <c r="W2133" s="3">
        <v>808.46</v>
      </c>
    </row>
    <row r="2134" spans="1:23" ht="60.75">
      <c r="A2134" s="3" t="s">
        <v>23</v>
      </c>
      <c r="B2134" s="3" t="s">
        <v>24</v>
      </c>
      <c r="C2134" s="3" t="s">
        <v>35</v>
      </c>
      <c r="D2134" s="3" t="s">
        <v>43</v>
      </c>
      <c r="E2134" s="3" t="s">
        <v>30</v>
      </c>
      <c r="F2134" s="3" t="s">
        <v>104</v>
      </c>
      <c r="G2134" s="3">
        <v>2016</v>
      </c>
      <c r="H2134" s="3" t="str">
        <f>CONCATENATE("64240479952")</f>
        <v>64240479952</v>
      </c>
      <c r="I2134" s="3" t="s">
        <v>25</v>
      </c>
      <c r="J2134" s="3" t="s">
        <v>26</v>
      </c>
      <c r="K2134" s="3" t="str">
        <f t="shared" si="67"/>
        <v/>
      </c>
      <c r="L2134" s="3" t="str">
        <f>CONCATENATE("11 11.1 4b")</f>
        <v>11 11.1 4b</v>
      </c>
      <c r="M2134" s="3" t="str">
        <f>CONCATENATE("GNSTLI53E11L500S")</f>
        <v>GNSTLI53E11L500S</v>
      </c>
      <c r="N2134" s="3" t="s">
        <v>2109</v>
      </c>
      <c r="O2134" s="3"/>
      <c r="P2134" s="4">
        <v>42783</v>
      </c>
      <c r="Q2134" s="3" t="s">
        <v>27</v>
      </c>
      <c r="R2134" s="3" t="s">
        <v>28</v>
      </c>
      <c r="S2134" s="3" t="s">
        <v>29</v>
      </c>
      <c r="T2134" s="5">
        <v>1146.68</v>
      </c>
      <c r="U2134" s="3">
        <v>494.45</v>
      </c>
      <c r="V2134" s="3">
        <v>456.61</v>
      </c>
      <c r="W2134" s="3">
        <v>195.62</v>
      </c>
    </row>
    <row r="2135" spans="1:23" ht="36.75">
      <c r="A2135" s="3" t="s">
        <v>23</v>
      </c>
      <c r="B2135" s="3" t="s">
        <v>24</v>
      </c>
      <c r="C2135" s="3" t="s">
        <v>35</v>
      </c>
      <c r="D2135" s="3" t="s">
        <v>43</v>
      </c>
      <c r="E2135" s="3" t="s">
        <v>30</v>
      </c>
      <c r="F2135" s="3" t="s">
        <v>113</v>
      </c>
      <c r="G2135" s="3">
        <v>2016</v>
      </c>
      <c r="H2135" s="3" t="str">
        <f>CONCATENATE("64210681744")</f>
        <v>64210681744</v>
      </c>
      <c r="I2135" s="3" t="s">
        <v>25</v>
      </c>
      <c r="J2135" s="3" t="s">
        <v>26</v>
      </c>
      <c r="K2135" s="3" t="str">
        <f t="shared" si="67"/>
        <v/>
      </c>
      <c r="L2135" s="3" t="str">
        <f>CONCATENATE("13 13.1 4a")</f>
        <v>13 13.1 4a</v>
      </c>
      <c r="M2135" s="3" t="str">
        <f>CONCATENATE("02429780410")</f>
        <v>02429780410</v>
      </c>
      <c r="N2135" s="3" t="s">
        <v>2110</v>
      </c>
      <c r="O2135" s="3"/>
      <c r="P2135" s="4">
        <v>42783</v>
      </c>
      <c r="Q2135" s="3" t="s">
        <v>27</v>
      </c>
      <c r="R2135" s="3" t="s">
        <v>28</v>
      </c>
      <c r="S2135" s="3" t="s">
        <v>29</v>
      </c>
      <c r="T2135" s="5">
        <v>5238</v>
      </c>
      <c r="U2135" s="5">
        <v>2258.63</v>
      </c>
      <c r="V2135" s="5">
        <v>2085.77</v>
      </c>
      <c r="W2135" s="3">
        <v>893.6</v>
      </c>
    </row>
    <row r="2136" spans="1:23" ht="60.75">
      <c r="A2136" s="3" t="s">
        <v>23</v>
      </c>
      <c r="B2136" s="3" t="s">
        <v>24</v>
      </c>
      <c r="C2136" s="3" t="s">
        <v>35</v>
      </c>
      <c r="D2136" s="3" t="s">
        <v>36</v>
      </c>
      <c r="E2136" s="3" t="s">
        <v>42</v>
      </c>
      <c r="F2136" s="3" t="s">
        <v>42</v>
      </c>
      <c r="G2136" s="3">
        <v>2016</v>
      </c>
      <c r="H2136" s="3" t="str">
        <f>CONCATENATE("64240703500")</f>
        <v>64240703500</v>
      </c>
      <c r="I2136" s="3" t="s">
        <v>25</v>
      </c>
      <c r="J2136" s="3" t="s">
        <v>26</v>
      </c>
      <c r="K2136" s="3" t="str">
        <f t="shared" si="67"/>
        <v/>
      </c>
      <c r="L2136" s="3" t="str">
        <f>CONCATENATE("11 11.1 4b")</f>
        <v>11 11.1 4b</v>
      </c>
      <c r="M2136" s="3" t="str">
        <f>CONCATENATE("FRNMRA91L25D542G")</f>
        <v>FRNMRA91L25D542G</v>
      </c>
      <c r="N2136" s="3" t="s">
        <v>2111</v>
      </c>
      <c r="O2136" s="3"/>
      <c r="P2136" s="4">
        <v>42783</v>
      </c>
      <c r="Q2136" s="3" t="s">
        <v>27</v>
      </c>
      <c r="R2136" s="3" t="s">
        <v>28</v>
      </c>
      <c r="S2136" s="3" t="s">
        <v>29</v>
      </c>
      <c r="T2136" s="5">
        <v>3212.41</v>
      </c>
      <c r="U2136" s="5">
        <v>1385.19</v>
      </c>
      <c r="V2136" s="5">
        <v>1279.18</v>
      </c>
      <c r="W2136" s="3">
        <v>548.04</v>
      </c>
    </row>
    <row r="2137" spans="1:23" ht="60.75">
      <c r="A2137" s="3" t="s">
        <v>23</v>
      </c>
      <c r="B2137" s="3" t="s">
        <v>24</v>
      </c>
      <c r="C2137" s="3" t="s">
        <v>35</v>
      </c>
      <c r="D2137" s="3" t="s">
        <v>43</v>
      </c>
      <c r="E2137" s="3" t="s">
        <v>49</v>
      </c>
      <c r="F2137" s="3" t="s">
        <v>276</v>
      </c>
      <c r="G2137" s="3">
        <v>2016</v>
      </c>
      <c r="H2137" s="3" t="str">
        <f>CONCATENATE("64240325601")</f>
        <v>64240325601</v>
      </c>
      <c r="I2137" s="3" t="s">
        <v>25</v>
      </c>
      <c r="J2137" s="3" t="s">
        <v>26</v>
      </c>
      <c r="K2137" s="3" t="str">
        <f t="shared" si="67"/>
        <v/>
      </c>
      <c r="L2137" s="3" t="str">
        <f>CONCATENATE("11 11.2 4b")</f>
        <v>11 11.2 4b</v>
      </c>
      <c r="M2137" s="3" t="str">
        <f>CONCATENATE("VGNNZE64H15F310K")</f>
        <v>VGNNZE64H15F310K</v>
      </c>
      <c r="N2137" s="3" t="s">
        <v>2112</v>
      </c>
      <c r="O2137" s="3"/>
      <c r="P2137" s="4">
        <v>42783</v>
      </c>
      <c r="Q2137" s="3" t="s">
        <v>27</v>
      </c>
      <c r="R2137" s="3" t="s">
        <v>28</v>
      </c>
      <c r="S2137" s="3" t="s">
        <v>29</v>
      </c>
      <c r="T2137" s="5">
        <v>3006.79</v>
      </c>
      <c r="U2137" s="5">
        <v>1296.53</v>
      </c>
      <c r="V2137" s="5">
        <v>1197.3</v>
      </c>
      <c r="W2137" s="3">
        <v>512.96</v>
      </c>
    </row>
    <row r="2138" spans="1:23" ht="60.75">
      <c r="A2138" s="3" t="s">
        <v>23</v>
      </c>
      <c r="B2138" s="3" t="s">
        <v>24</v>
      </c>
      <c r="C2138" s="3" t="s">
        <v>35</v>
      </c>
      <c r="D2138" s="3" t="s">
        <v>39</v>
      </c>
      <c r="E2138" s="3" t="s">
        <v>30</v>
      </c>
      <c r="F2138" s="3" t="s">
        <v>84</v>
      </c>
      <c r="G2138" s="3">
        <v>2016</v>
      </c>
      <c r="H2138" s="3" t="str">
        <f>CONCATENATE("64210983587")</f>
        <v>64210983587</v>
      </c>
      <c r="I2138" s="3" t="s">
        <v>25</v>
      </c>
      <c r="J2138" s="3" t="s">
        <v>26</v>
      </c>
      <c r="K2138" s="3" t="str">
        <f t="shared" si="67"/>
        <v/>
      </c>
      <c r="L2138" s="3" t="str">
        <f>CONCATENATE("13 13.1 4a")</f>
        <v>13 13.1 4a</v>
      </c>
      <c r="M2138" s="3" t="str">
        <f>CONCATENATE("CCCRRT69S30C524S")</f>
        <v>CCCRRT69S30C524S</v>
      </c>
      <c r="N2138" s="3" t="s">
        <v>2113</v>
      </c>
      <c r="O2138" s="3"/>
      <c r="P2138" s="4">
        <v>42783</v>
      </c>
      <c r="Q2138" s="3" t="s">
        <v>27</v>
      </c>
      <c r="R2138" s="3" t="s">
        <v>28</v>
      </c>
      <c r="S2138" s="3" t="s">
        <v>29</v>
      </c>
      <c r="T2138" s="3">
        <v>727.05</v>
      </c>
      <c r="U2138" s="3">
        <v>313.5</v>
      </c>
      <c r="V2138" s="3">
        <v>289.51</v>
      </c>
      <c r="W2138" s="3">
        <v>124.04</v>
      </c>
    </row>
    <row r="2139" spans="1:23" ht="60.75">
      <c r="A2139" s="3" t="s">
        <v>23</v>
      </c>
      <c r="B2139" s="3" t="s">
        <v>24</v>
      </c>
      <c r="C2139" s="3" t="s">
        <v>35</v>
      </c>
      <c r="D2139" s="3" t="s">
        <v>48</v>
      </c>
      <c r="E2139" s="3" t="s">
        <v>30</v>
      </c>
      <c r="F2139" s="3" t="s">
        <v>157</v>
      </c>
      <c r="G2139" s="3">
        <v>2016</v>
      </c>
      <c r="H2139" s="3" t="str">
        <f>CONCATENATE("64240316428")</f>
        <v>64240316428</v>
      </c>
      <c r="I2139" s="3" t="s">
        <v>25</v>
      </c>
      <c r="J2139" s="3" t="s">
        <v>26</v>
      </c>
      <c r="K2139" s="3" t="str">
        <f t="shared" si="67"/>
        <v/>
      </c>
      <c r="L2139" s="3" t="str">
        <f>CONCATENATE("11 11.2 4b")</f>
        <v>11 11.2 4b</v>
      </c>
      <c r="M2139" s="3" t="str">
        <f>CONCATENATE("BCCNDR74C16I436R")</f>
        <v>BCCNDR74C16I436R</v>
      </c>
      <c r="N2139" s="3" t="s">
        <v>2114</v>
      </c>
      <c r="O2139" s="3"/>
      <c r="P2139" s="4">
        <v>42783</v>
      </c>
      <c r="Q2139" s="3" t="s">
        <v>27</v>
      </c>
      <c r="R2139" s="3" t="s">
        <v>28</v>
      </c>
      <c r="S2139" s="3" t="s">
        <v>29</v>
      </c>
      <c r="T2139" s="5">
        <v>18484.12</v>
      </c>
      <c r="U2139" s="5">
        <v>7970.35</v>
      </c>
      <c r="V2139" s="5">
        <v>7360.38</v>
      </c>
      <c r="W2139" s="5">
        <v>3153.39</v>
      </c>
    </row>
    <row r="2140" spans="1:23" ht="36.75">
      <c r="A2140" s="3" t="s">
        <v>23</v>
      </c>
      <c r="B2140" s="3" t="s">
        <v>24</v>
      </c>
      <c r="C2140" s="3" t="s">
        <v>35</v>
      </c>
      <c r="D2140" s="3" t="s">
        <v>39</v>
      </c>
      <c r="E2140" s="3" t="s">
        <v>34</v>
      </c>
      <c r="F2140" s="3" t="s">
        <v>273</v>
      </c>
      <c r="G2140" s="3">
        <v>2016</v>
      </c>
      <c r="H2140" s="3" t="str">
        <f>CONCATENATE("64240492237")</f>
        <v>64240492237</v>
      </c>
      <c r="I2140" s="3" t="s">
        <v>25</v>
      </c>
      <c r="J2140" s="3" t="s">
        <v>26</v>
      </c>
      <c r="K2140" s="3" t="str">
        <f t="shared" si="67"/>
        <v/>
      </c>
      <c r="L2140" s="3" t="str">
        <f>CONCATENATE("11 11.2 4b")</f>
        <v>11 11.2 4b</v>
      </c>
      <c r="M2140" s="3" t="str">
        <f>CONCATENATE("01874730672")</f>
        <v>01874730672</v>
      </c>
      <c r="N2140" s="3" t="s">
        <v>2115</v>
      </c>
      <c r="O2140" s="3"/>
      <c r="P2140" s="4">
        <v>42783</v>
      </c>
      <c r="Q2140" s="3" t="s">
        <v>27</v>
      </c>
      <c r="R2140" s="3" t="s">
        <v>28</v>
      </c>
      <c r="S2140" s="3" t="s">
        <v>29</v>
      </c>
      <c r="T2140" s="3">
        <v>283.95999999999998</v>
      </c>
      <c r="U2140" s="3">
        <v>122.44</v>
      </c>
      <c r="V2140" s="3">
        <v>113.07</v>
      </c>
      <c r="W2140" s="3">
        <v>48.45</v>
      </c>
    </row>
    <row r="2141" spans="1:23" ht="72.75">
      <c r="A2141" s="3" t="s">
        <v>23</v>
      </c>
      <c r="B2141" s="3" t="s">
        <v>24</v>
      </c>
      <c r="C2141" s="3" t="s">
        <v>35</v>
      </c>
      <c r="D2141" s="3" t="s">
        <v>48</v>
      </c>
      <c r="E2141" s="3" t="s">
        <v>33</v>
      </c>
      <c r="F2141" s="3" t="s">
        <v>212</v>
      </c>
      <c r="G2141" s="3">
        <v>2016</v>
      </c>
      <c r="H2141" s="3" t="str">
        <f>CONCATENATE("64210863458")</f>
        <v>64210863458</v>
      </c>
      <c r="I2141" s="3" t="s">
        <v>25</v>
      </c>
      <c r="J2141" s="3" t="s">
        <v>26</v>
      </c>
      <c r="K2141" s="3" t="str">
        <f t="shared" si="67"/>
        <v/>
      </c>
      <c r="L2141" s="3" t="str">
        <f>CONCATENATE("13 13.1 4a")</f>
        <v>13 13.1 4a</v>
      </c>
      <c r="M2141" s="3" t="str">
        <f>CONCATENATE("DMNGPP37S04M078H")</f>
        <v>DMNGPP37S04M078H</v>
      </c>
      <c r="N2141" s="3" t="s">
        <v>2116</v>
      </c>
      <c r="O2141" s="3"/>
      <c r="P2141" s="4">
        <v>42783</v>
      </c>
      <c r="Q2141" s="3" t="s">
        <v>27</v>
      </c>
      <c r="R2141" s="3" t="s">
        <v>28</v>
      </c>
      <c r="S2141" s="3" t="s">
        <v>29</v>
      </c>
      <c r="T2141" s="5">
        <v>4162.57</v>
      </c>
      <c r="U2141" s="5">
        <v>1794.9</v>
      </c>
      <c r="V2141" s="5">
        <v>1657.54</v>
      </c>
      <c r="W2141" s="3">
        <v>710.13</v>
      </c>
    </row>
    <row r="2142" spans="1:23" ht="60.75">
      <c r="A2142" s="3" t="s">
        <v>23</v>
      </c>
      <c r="B2142" s="3" t="s">
        <v>24</v>
      </c>
      <c r="C2142" s="3" t="s">
        <v>35</v>
      </c>
      <c r="D2142" s="3" t="s">
        <v>48</v>
      </c>
      <c r="E2142" s="3" t="s">
        <v>49</v>
      </c>
      <c r="F2142" s="3" t="s">
        <v>50</v>
      </c>
      <c r="G2142" s="3">
        <v>2016</v>
      </c>
      <c r="H2142" s="3" t="str">
        <f>CONCATENATE("64240872909")</f>
        <v>64240872909</v>
      </c>
      <c r="I2142" s="3" t="s">
        <v>25</v>
      </c>
      <c r="J2142" s="3" t="s">
        <v>26</v>
      </c>
      <c r="K2142" s="3" t="str">
        <f t="shared" si="67"/>
        <v/>
      </c>
      <c r="L2142" s="3" t="str">
        <f>CONCATENATE("11 11.2 4b")</f>
        <v>11 11.2 4b</v>
      </c>
      <c r="M2142" s="3" t="str">
        <f>CONCATENATE("TSTLCU77B06B474R")</f>
        <v>TSTLCU77B06B474R</v>
      </c>
      <c r="N2142" s="3" t="s">
        <v>2117</v>
      </c>
      <c r="O2142" s="3"/>
      <c r="P2142" s="4">
        <v>42783</v>
      </c>
      <c r="Q2142" s="3" t="s">
        <v>27</v>
      </c>
      <c r="R2142" s="3" t="s">
        <v>28</v>
      </c>
      <c r="S2142" s="3" t="s">
        <v>29</v>
      </c>
      <c r="T2142" s="5">
        <v>9933.69</v>
      </c>
      <c r="U2142" s="5">
        <v>4283.41</v>
      </c>
      <c r="V2142" s="5">
        <v>3955.6</v>
      </c>
      <c r="W2142" s="5">
        <v>1694.68</v>
      </c>
    </row>
    <row r="2143" spans="1:23" ht="60.75">
      <c r="A2143" s="3" t="s">
        <v>23</v>
      </c>
      <c r="B2143" s="3" t="s">
        <v>24</v>
      </c>
      <c r="C2143" s="3" t="s">
        <v>35</v>
      </c>
      <c r="D2143" s="3" t="s">
        <v>48</v>
      </c>
      <c r="E2143" s="3" t="s">
        <v>30</v>
      </c>
      <c r="F2143" s="3" t="s">
        <v>91</v>
      </c>
      <c r="G2143" s="3">
        <v>2016</v>
      </c>
      <c r="H2143" s="3" t="str">
        <f>CONCATENATE("64210494684")</f>
        <v>64210494684</v>
      </c>
      <c r="I2143" s="3" t="s">
        <v>25</v>
      </c>
      <c r="J2143" s="3" t="s">
        <v>26</v>
      </c>
      <c r="K2143" s="3" t="str">
        <f t="shared" si="67"/>
        <v/>
      </c>
      <c r="L2143" s="3" t="str">
        <f>CONCATENATE("13 13.1 4a")</f>
        <v>13 13.1 4a</v>
      </c>
      <c r="M2143" s="3" t="str">
        <f>CONCATENATE("CCCRRT65S08B474D")</f>
        <v>CCCRRT65S08B474D</v>
      </c>
      <c r="N2143" s="3" t="s">
        <v>2118</v>
      </c>
      <c r="O2143" s="3"/>
      <c r="P2143" s="4">
        <v>42783</v>
      </c>
      <c r="Q2143" s="3" t="s">
        <v>27</v>
      </c>
      <c r="R2143" s="3" t="s">
        <v>28</v>
      </c>
      <c r="S2143" s="3" t="s">
        <v>29</v>
      </c>
      <c r="T2143" s="5">
        <v>1298.58</v>
      </c>
      <c r="U2143" s="3">
        <v>559.95000000000005</v>
      </c>
      <c r="V2143" s="3">
        <v>517.09</v>
      </c>
      <c r="W2143" s="3">
        <v>221.54</v>
      </c>
    </row>
    <row r="2144" spans="1:23" ht="60.75">
      <c r="A2144" s="3" t="s">
        <v>23</v>
      </c>
      <c r="B2144" s="3" t="s">
        <v>24</v>
      </c>
      <c r="C2144" s="3" t="s">
        <v>35</v>
      </c>
      <c r="D2144" s="3" t="s">
        <v>39</v>
      </c>
      <c r="E2144" s="3" t="s">
        <v>30</v>
      </c>
      <c r="F2144" s="3" t="s">
        <v>84</v>
      </c>
      <c r="G2144" s="3">
        <v>2016</v>
      </c>
      <c r="H2144" s="3" t="str">
        <f>CONCATENATE("64210148629")</f>
        <v>64210148629</v>
      </c>
      <c r="I2144" s="3" t="s">
        <v>25</v>
      </c>
      <c r="J2144" s="3" t="s">
        <v>26</v>
      </c>
      <c r="K2144" s="3" t="str">
        <f t="shared" si="67"/>
        <v/>
      </c>
      <c r="L2144" s="3" t="str">
        <f>CONCATENATE("13 13.1 4a")</f>
        <v>13 13.1 4a</v>
      </c>
      <c r="M2144" s="3" t="str">
        <f>CONCATENATE("SCRDNC58E03I653P")</f>
        <v>SCRDNC58E03I653P</v>
      </c>
      <c r="N2144" s="3" t="s">
        <v>2119</v>
      </c>
      <c r="O2144" s="3"/>
      <c r="P2144" s="4">
        <v>42783</v>
      </c>
      <c r="Q2144" s="3" t="s">
        <v>27</v>
      </c>
      <c r="R2144" s="3" t="s">
        <v>28</v>
      </c>
      <c r="S2144" s="3" t="s">
        <v>29</v>
      </c>
      <c r="T2144" s="3">
        <v>830.12</v>
      </c>
      <c r="U2144" s="3">
        <v>357.95</v>
      </c>
      <c r="V2144" s="3">
        <v>330.55</v>
      </c>
      <c r="W2144" s="3">
        <v>141.62</v>
      </c>
    </row>
    <row r="2145" spans="1:23" ht="36.75">
      <c r="A2145" s="3" t="s">
        <v>23</v>
      </c>
      <c r="B2145" s="3" t="s">
        <v>24</v>
      </c>
      <c r="C2145" s="3" t="s">
        <v>35</v>
      </c>
      <c r="D2145" s="3" t="s">
        <v>43</v>
      </c>
      <c r="E2145" s="3" t="s">
        <v>33</v>
      </c>
      <c r="F2145" s="3" t="s">
        <v>848</v>
      </c>
      <c r="G2145" s="3">
        <v>2016</v>
      </c>
      <c r="H2145" s="3" t="str">
        <f>CONCATENATE("64240875787")</f>
        <v>64240875787</v>
      </c>
      <c r="I2145" s="3" t="s">
        <v>25</v>
      </c>
      <c r="J2145" s="3" t="s">
        <v>26</v>
      </c>
      <c r="K2145" s="3" t="str">
        <f t="shared" si="67"/>
        <v/>
      </c>
      <c r="L2145" s="3" t="str">
        <f>CONCATENATE("11 11.2 4b")</f>
        <v>11 11.2 4b</v>
      </c>
      <c r="M2145" s="3" t="str">
        <f>CONCATENATE("01397120419")</f>
        <v>01397120419</v>
      </c>
      <c r="N2145" s="3" t="s">
        <v>2120</v>
      </c>
      <c r="O2145" s="3"/>
      <c r="P2145" s="4">
        <v>42783</v>
      </c>
      <c r="Q2145" s="3" t="s">
        <v>27</v>
      </c>
      <c r="R2145" s="3" t="s">
        <v>28</v>
      </c>
      <c r="S2145" s="3" t="s">
        <v>29</v>
      </c>
      <c r="T2145" s="5">
        <v>12453.87</v>
      </c>
      <c r="U2145" s="5">
        <v>5370.11</v>
      </c>
      <c r="V2145" s="5">
        <v>4959.13</v>
      </c>
      <c r="W2145" s="5">
        <v>2124.63</v>
      </c>
    </row>
    <row r="2146" spans="1:23" ht="60.75">
      <c r="A2146" s="3" t="s">
        <v>23</v>
      </c>
      <c r="B2146" s="3" t="s">
        <v>24</v>
      </c>
      <c r="C2146" s="3" t="s">
        <v>35</v>
      </c>
      <c r="D2146" s="3" t="s">
        <v>36</v>
      </c>
      <c r="E2146" s="3" t="s">
        <v>30</v>
      </c>
      <c r="F2146" s="3" t="s">
        <v>257</v>
      </c>
      <c r="G2146" s="3">
        <v>2016</v>
      </c>
      <c r="H2146" s="3" t="str">
        <f>CONCATENATE("64210688061")</f>
        <v>64210688061</v>
      </c>
      <c r="I2146" s="3" t="s">
        <v>25</v>
      </c>
      <c r="J2146" s="3" t="s">
        <v>26</v>
      </c>
      <c r="K2146" s="3" t="str">
        <f t="shared" si="67"/>
        <v/>
      </c>
      <c r="L2146" s="3" t="str">
        <f>CONCATENATE("13 13.1 4a")</f>
        <v>13 13.1 4a</v>
      </c>
      <c r="M2146" s="3" t="str">
        <f>CONCATENATE("SCRRSE60D09D542T")</f>
        <v>SCRRSE60D09D542T</v>
      </c>
      <c r="N2146" s="3" t="s">
        <v>2121</v>
      </c>
      <c r="O2146" s="3"/>
      <c r="P2146" s="4">
        <v>42783</v>
      </c>
      <c r="Q2146" s="3" t="s">
        <v>27</v>
      </c>
      <c r="R2146" s="3" t="s">
        <v>28</v>
      </c>
      <c r="S2146" s="3" t="s">
        <v>29</v>
      </c>
      <c r="T2146" s="5">
        <v>3151.72</v>
      </c>
      <c r="U2146" s="5">
        <v>1359.02</v>
      </c>
      <c r="V2146" s="5">
        <v>1255.01</v>
      </c>
      <c r="W2146" s="3">
        <v>537.69000000000005</v>
      </c>
    </row>
    <row r="2147" spans="1:23" ht="72.75">
      <c r="A2147" s="3" t="s">
        <v>23</v>
      </c>
      <c r="B2147" s="3" t="s">
        <v>24</v>
      </c>
      <c r="C2147" s="3" t="s">
        <v>35</v>
      </c>
      <c r="D2147" s="3" t="s">
        <v>36</v>
      </c>
      <c r="E2147" s="3" t="s">
        <v>32</v>
      </c>
      <c r="F2147" s="3" t="s">
        <v>208</v>
      </c>
      <c r="G2147" s="3">
        <v>2016</v>
      </c>
      <c r="H2147" s="3" t="str">
        <f>CONCATENATE("64240545943")</f>
        <v>64240545943</v>
      </c>
      <c r="I2147" s="3" t="s">
        <v>25</v>
      </c>
      <c r="J2147" s="3" t="s">
        <v>26</v>
      </c>
      <c r="K2147" s="3" t="str">
        <f t="shared" si="67"/>
        <v/>
      </c>
      <c r="L2147" s="3" t="str">
        <f>CONCATENATE("10 10.1 4b")</f>
        <v>10 10.1 4b</v>
      </c>
      <c r="M2147" s="3" t="str">
        <f>CONCATENATE("MNNLSE57B41A485C")</f>
        <v>MNNLSE57B41A485C</v>
      </c>
      <c r="N2147" s="3" t="s">
        <v>2122</v>
      </c>
      <c r="O2147" s="3"/>
      <c r="P2147" s="4">
        <v>42783</v>
      </c>
      <c r="Q2147" s="3" t="s">
        <v>27</v>
      </c>
      <c r="R2147" s="3" t="s">
        <v>28</v>
      </c>
      <c r="S2147" s="3" t="s">
        <v>29</v>
      </c>
      <c r="T2147" s="5">
        <v>4170.0200000000004</v>
      </c>
      <c r="U2147" s="5">
        <v>1798.11</v>
      </c>
      <c r="V2147" s="5">
        <v>1660.5</v>
      </c>
      <c r="W2147" s="3">
        <v>711.41</v>
      </c>
    </row>
    <row r="2148" spans="1:23" ht="60.75">
      <c r="A2148" s="3" t="s">
        <v>23</v>
      </c>
      <c r="B2148" s="3" t="s">
        <v>24</v>
      </c>
      <c r="C2148" s="3" t="s">
        <v>35</v>
      </c>
      <c r="D2148" s="3" t="s">
        <v>36</v>
      </c>
      <c r="E2148" s="3" t="s">
        <v>30</v>
      </c>
      <c r="F2148" s="3" t="s">
        <v>37</v>
      </c>
      <c r="G2148" s="3">
        <v>2016</v>
      </c>
      <c r="H2148" s="3" t="str">
        <f>CONCATENATE("64240338612")</f>
        <v>64240338612</v>
      </c>
      <c r="I2148" s="3" t="s">
        <v>25</v>
      </c>
      <c r="J2148" s="3" t="s">
        <v>26</v>
      </c>
      <c r="K2148" s="3" t="str">
        <f t="shared" si="67"/>
        <v/>
      </c>
      <c r="L2148" s="3" t="str">
        <f>CONCATENATE("11 11.2 4b")</f>
        <v>11 11.2 4b</v>
      </c>
      <c r="M2148" s="3" t="str">
        <f>CONCATENATE("VLLDNC40A29F415H")</f>
        <v>VLLDNC40A29F415H</v>
      </c>
      <c r="N2148" s="3" t="s">
        <v>2123</v>
      </c>
      <c r="O2148" s="3"/>
      <c r="P2148" s="4">
        <v>42783</v>
      </c>
      <c r="Q2148" s="3" t="s">
        <v>27</v>
      </c>
      <c r="R2148" s="3" t="s">
        <v>28</v>
      </c>
      <c r="S2148" s="3" t="s">
        <v>29</v>
      </c>
      <c r="T2148" s="5">
        <v>2213.29</v>
      </c>
      <c r="U2148" s="3">
        <v>954.37</v>
      </c>
      <c r="V2148" s="3">
        <v>881.33</v>
      </c>
      <c r="W2148" s="3">
        <v>377.59</v>
      </c>
    </row>
    <row r="2149" spans="1:23" ht="60.75">
      <c r="A2149" s="3" t="s">
        <v>23</v>
      </c>
      <c r="B2149" s="3" t="s">
        <v>24</v>
      </c>
      <c r="C2149" s="3" t="s">
        <v>35</v>
      </c>
      <c r="D2149" s="3" t="s">
        <v>39</v>
      </c>
      <c r="E2149" s="3" t="s">
        <v>32</v>
      </c>
      <c r="F2149" s="3" t="s">
        <v>117</v>
      </c>
      <c r="G2149" s="3">
        <v>2016</v>
      </c>
      <c r="H2149" s="3" t="str">
        <f>CONCATENATE("64240542403")</f>
        <v>64240542403</v>
      </c>
      <c r="I2149" s="3" t="s">
        <v>25</v>
      </c>
      <c r="J2149" s="3" t="s">
        <v>26</v>
      </c>
      <c r="K2149" s="3" t="str">
        <f t="shared" si="67"/>
        <v/>
      </c>
      <c r="L2149" s="3" t="str">
        <f>CONCATENATE("11 11.2 4b")</f>
        <v>11 11.2 4b</v>
      </c>
      <c r="M2149" s="3" t="str">
        <f>CONCATENATE("SRNDNL79D08E388R")</f>
        <v>SRNDNL79D08E388R</v>
      </c>
      <c r="N2149" s="3" t="s">
        <v>2124</v>
      </c>
      <c r="O2149" s="3"/>
      <c r="P2149" s="4">
        <v>42783</v>
      </c>
      <c r="Q2149" s="3" t="s">
        <v>27</v>
      </c>
      <c r="R2149" s="3" t="s">
        <v>28</v>
      </c>
      <c r="S2149" s="3" t="s">
        <v>29</v>
      </c>
      <c r="T2149" s="5">
        <v>2323.38</v>
      </c>
      <c r="U2149" s="5">
        <v>1001.84</v>
      </c>
      <c r="V2149" s="3">
        <v>925.17</v>
      </c>
      <c r="W2149" s="3">
        <v>396.37</v>
      </c>
    </row>
    <row r="2150" spans="1:23" ht="60.75">
      <c r="A2150" s="3" t="s">
        <v>23</v>
      </c>
      <c r="B2150" s="3" t="s">
        <v>24</v>
      </c>
      <c r="C2150" s="3" t="s">
        <v>35</v>
      </c>
      <c r="D2150" s="3" t="s">
        <v>43</v>
      </c>
      <c r="E2150" s="3" t="s">
        <v>34</v>
      </c>
      <c r="F2150" s="3" t="s">
        <v>146</v>
      </c>
      <c r="G2150" s="3">
        <v>2016</v>
      </c>
      <c r="H2150" s="3" t="str">
        <f>CONCATENATE("64240204061")</f>
        <v>64240204061</v>
      </c>
      <c r="I2150" s="3" t="s">
        <v>25</v>
      </c>
      <c r="J2150" s="3" t="s">
        <v>26</v>
      </c>
      <c r="K2150" s="3" t="str">
        <f t="shared" si="67"/>
        <v/>
      </c>
      <c r="L2150" s="3" t="str">
        <f>CONCATENATE("11 11.2 4b")</f>
        <v>11 11.2 4b</v>
      </c>
      <c r="M2150" s="3" t="str">
        <f>CONCATENATE("GDNGRG21R07G479C")</f>
        <v>GDNGRG21R07G479C</v>
      </c>
      <c r="N2150" s="3" t="s">
        <v>2125</v>
      </c>
      <c r="O2150" s="3"/>
      <c r="P2150" s="4">
        <v>42783</v>
      </c>
      <c r="Q2150" s="3" t="s">
        <v>27</v>
      </c>
      <c r="R2150" s="3" t="s">
        <v>28</v>
      </c>
      <c r="S2150" s="3" t="s">
        <v>29</v>
      </c>
      <c r="T2150" s="5">
        <v>6223.25</v>
      </c>
      <c r="U2150" s="5">
        <v>2683.47</v>
      </c>
      <c r="V2150" s="5">
        <v>2478.1</v>
      </c>
      <c r="W2150" s="5">
        <v>1061.68</v>
      </c>
    </row>
    <row r="2151" spans="1:23" ht="60.75">
      <c r="A2151" s="3" t="s">
        <v>23</v>
      </c>
      <c r="B2151" s="3" t="s">
        <v>24</v>
      </c>
      <c r="C2151" s="3" t="s">
        <v>35</v>
      </c>
      <c r="D2151" s="3" t="s">
        <v>48</v>
      </c>
      <c r="E2151" s="3" t="s">
        <v>30</v>
      </c>
      <c r="F2151" s="3" t="s">
        <v>91</v>
      </c>
      <c r="G2151" s="3">
        <v>2016</v>
      </c>
      <c r="H2151" s="3" t="str">
        <f>CONCATENATE("64210590671")</f>
        <v>64210590671</v>
      </c>
      <c r="I2151" s="3" t="s">
        <v>25</v>
      </c>
      <c r="J2151" s="3" t="s">
        <v>26</v>
      </c>
      <c r="K2151" s="3" t="str">
        <f t="shared" si="67"/>
        <v/>
      </c>
      <c r="L2151" s="3" t="str">
        <f>CONCATENATE("13 13.1 4a")</f>
        <v>13 13.1 4a</v>
      </c>
      <c r="M2151" s="3" t="str">
        <f>CONCATENATE("PGTMEO62T14B474V")</f>
        <v>PGTMEO62T14B474V</v>
      </c>
      <c r="N2151" s="3" t="s">
        <v>2126</v>
      </c>
      <c r="O2151" s="3"/>
      <c r="P2151" s="4">
        <v>42783</v>
      </c>
      <c r="Q2151" s="3" t="s">
        <v>27</v>
      </c>
      <c r="R2151" s="3" t="s">
        <v>28</v>
      </c>
      <c r="S2151" s="3" t="s">
        <v>29</v>
      </c>
      <c r="T2151" s="5">
        <v>4590</v>
      </c>
      <c r="U2151" s="5">
        <v>1979.21</v>
      </c>
      <c r="V2151" s="5">
        <v>1827.74</v>
      </c>
      <c r="W2151" s="3">
        <v>783.05</v>
      </c>
    </row>
    <row r="2152" spans="1:23" ht="60.75">
      <c r="A2152" s="3" t="s">
        <v>23</v>
      </c>
      <c r="B2152" s="3" t="s">
        <v>24</v>
      </c>
      <c r="C2152" s="3" t="s">
        <v>35</v>
      </c>
      <c r="D2152" s="3" t="s">
        <v>39</v>
      </c>
      <c r="E2152" s="3" t="s">
        <v>34</v>
      </c>
      <c r="F2152" s="3" t="s">
        <v>170</v>
      </c>
      <c r="G2152" s="3">
        <v>2016</v>
      </c>
      <c r="H2152" s="3" t="str">
        <f>CONCATENATE("64240660171")</f>
        <v>64240660171</v>
      </c>
      <c r="I2152" s="3" t="s">
        <v>25</v>
      </c>
      <c r="J2152" s="3" t="s">
        <v>26</v>
      </c>
      <c r="K2152" s="3" t="str">
        <f t="shared" si="67"/>
        <v/>
      </c>
      <c r="L2152" s="3" t="str">
        <f>CONCATENATE("11 11.2 4b")</f>
        <v>11 11.2 4b</v>
      </c>
      <c r="M2152" s="3" t="str">
        <f>CONCATENATE("LRIDNL62L06E507O")</f>
        <v>LRIDNL62L06E507O</v>
      </c>
      <c r="N2152" s="3" t="s">
        <v>2127</v>
      </c>
      <c r="O2152" s="3"/>
      <c r="P2152" s="4">
        <v>42783</v>
      </c>
      <c r="Q2152" s="3" t="s">
        <v>27</v>
      </c>
      <c r="R2152" s="3" t="s">
        <v>28</v>
      </c>
      <c r="S2152" s="3" t="s">
        <v>29</v>
      </c>
      <c r="T2152" s="5">
        <v>4572.22</v>
      </c>
      <c r="U2152" s="5">
        <v>1971.54</v>
      </c>
      <c r="V2152" s="5">
        <v>1820.66</v>
      </c>
      <c r="W2152" s="3">
        <v>780.02</v>
      </c>
    </row>
    <row r="2153" spans="1:23" ht="60.75">
      <c r="A2153" s="3" t="s">
        <v>23</v>
      </c>
      <c r="B2153" s="3" t="s">
        <v>24</v>
      </c>
      <c r="C2153" s="3" t="s">
        <v>35</v>
      </c>
      <c r="D2153" s="3" t="s">
        <v>43</v>
      </c>
      <c r="E2153" s="3" t="s">
        <v>30</v>
      </c>
      <c r="F2153" s="3" t="s">
        <v>124</v>
      </c>
      <c r="G2153" s="3">
        <v>2016</v>
      </c>
      <c r="H2153" s="3" t="str">
        <f>CONCATENATE("64240744660")</f>
        <v>64240744660</v>
      </c>
      <c r="I2153" s="3" t="s">
        <v>25</v>
      </c>
      <c r="J2153" s="3" t="s">
        <v>26</v>
      </c>
      <c r="K2153" s="3" t="str">
        <f t="shared" si="67"/>
        <v/>
      </c>
      <c r="L2153" s="3" t="str">
        <f>CONCATENATE("11 11.2 4b")</f>
        <v>11 11.2 4b</v>
      </c>
      <c r="M2153" s="3" t="str">
        <f>CONCATENATE("CCCVNC66M63I287P")</f>
        <v>CCCVNC66M63I287P</v>
      </c>
      <c r="N2153" s="3" t="s">
        <v>2128</v>
      </c>
      <c r="O2153" s="3"/>
      <c r="P2153" s="4">
        <v>42783</v>
      </c>
      <c r="Q2153" s="3" t="s">
        <v>27</v>
      </c>
      <c r="R2153" s="3" t="s">
        <v>28</v>
      </c>
      <c r="S2153" s="3" t="s">
        <v>29</v>
      </c>
      <c r="T2153" s="5">
        <v>2741.36</v>
      </c>
      <c r="U2153" s="5">
        <v>1182.07</v>
      </c>
      <c r="V2153" s="5">
        <v>1091.6099999999999</v>
      </c>
      <c r="W2153" s="3">
        <v>467.68</v>
      </c>
    </row>
    <row r="2154" spans="1:23" ht="60.75">
      <c r="A2154" s="3" t="s">
        <v>23</v>
      </c>
      <c r="B2154" s="3" t="s">
        <v>24</v>
      </c>
      <c r="C2154" s="3" t="s">
        <v>35</v>
      </c>
      <c r="D2154" s="3" t="s">
        <v>43</v>
      </c>
      <c r="E2154" s="3" t="s">
        <v>30</v>
      </c>
      <c r="F2154" s="3" t="s">
        <v>124</v>
      </c>
      <c r="G2154" s="3">
        <v>2016</v>
      </c>
      <c r="H2154" s="3" t="str">
        <f>CONCATENATE("64240537825")</f>
        <v>64240537825</v>
      </c>
      <c r="I2154" s="3" t="s">
        <v>25</v>
      </c>
      <c r="J2154" s="3" t="s">
        <v>26</v>
      </c>
      <c r="K2154" s="3" t="str">
        <f t="shared" si="67"/>
        <v/>
      </c>
      <c r="L2154" s="3" t="str">
        <f>CONCATENATE("11 11.1 4b")</f>
        <v>11 11.1 4b</v>
      </c>
      <c r="M2154" s="3" t="str">
        <f>CONCATENATE("BCCGRL70E28I459S")</f>
        <v>BCCGRL70E28I459S</v>
      </c>
      <c r="N2154" s="3" t="s">
        <v>2129</v>
      </c>
      <c r="O2154" s="3"/>
      <c r="P2154" s="4">
        <v>42783</v>
      </c>
      <c r="Q2154" s="3" t="s">
        <v>27</v>
      </c>
      <c r="R2154" s="3" t="s">
        <v>28</v>
      </c>
      <c r="S2154" s="3" t="s">
        <v>29</v>
      </c>
      <c r="T2154" s="5">
        <v>17268.189999999999</v>
      </c>
      <c r="U2154" s="5">
        <v>7446.04</v>
      </c>
      <c r="V2154" s="5">
        <v>6876.19</v>
      </c>
      <c r="W2154" s="5">
        <v>2945.96</v>
      </c>
    </row>
    <row r="2155" spans="1:23" ht="36.75">
      <c r="A2155" s="3" t="s">
        <v>23</v>
      </c>
      <c r="B2155" s="3" t="s">
        <v>24</v>
      </c>
      <c r="C2155" s="3" t="s">
        <v>35</v>
      </c>
      <c r="D2155" s="3" t="s">
        <v>43</v>
      </c>
      <c r="E2155" s="3" t="s">
        <v>30</v>
      </c>
      <c r="F2155" s="3" t="s">
        <v>104</v>
      </c>
      <c r="G2155" s="3">
        <v>2016</v>
      </c>
      <c r="H2155" s="3" t="str">
        <f>CONCATENATE("64240357489")</f>
        <v>64240357489</v>
      </c>
      <c r="I2155" s="3" t="s">
        <v>25</v>
      </c>
      <c r="J2155" s="3" t="s">
        <v>26</v>
      </c>
      <c r="K2155" s="3" t="str">
        <f t="shared" si="67"/>
        <v/>
      </c>
      <c r="L2155" s="3" t="str">
        <f>CONCATENATE("11 11.2 4b")</f>
        <v>11 11.2 4b</v>
      </c>
      <c r="M2155" s="3" t="str">
        <f>CONCATENATE("00452350416")</f>
        <v>00452350416</v>
      </c>
      <c r="N2155" s="3" t="s">
        <v>2130</v>
      </c>
      <c r="O2155" s="3"/>
      <c r="P2155" s="4">
        <v>42783</v>
      </c>
      <c r="Q2155" s="3" t="s">
        <v>27</v>
      </c>
      <c r="R2155" s="3" t="s">
        <v>28</v>
      </c>
      <c r="S2155" s="3" t="s">
        <v>29</v>
      </c>
      <c r="T2155" s="5">
        <v>13416.81</v>
      </c>
      <c r="U2155" s="5">
        <v>5785.33</v>
      </c>
      <c r="V2155" s="5">
        <v>5342.57</v>
      </c>
      <c r="W2155" s="5">
        <v>2288.91</v>
      </c>
    </row>
    <row r="2156" spans="1:23" ht="36.75">
      <c r="A2156" s="3" t="s">
        <v>23</v>
      </c>
      <c r="B2156" s="3" t="s">
        <v>24</v>
      </c>
      <c r="C2156" s="3" t="s">
        <v>35</v>
      </c>
      <c r="D2156" s="3" t="s">
        <v>36</v>
      </c>
      <c r="E2156" s="3" t="s">
        <v>42</v>
      </c>
      <c r="F2156" s="3" t="s">
        <v>42</v>
      </c>
      <c r="G2156" s="3">
        <v>2016</v>
      </c>
      <c r="H2156" s="3" t="str">
        <f>CONCATENATE("64240645198")</f>
        <v>64240645198</v>
      </c>
      <c r="I2156" s="3" t="s">
        <v>25</v>
      </c>
      <c r="J2156" s="3" t="s">
        <v>26</v>
      </c>
      <c r="K2156" s="3" t="str">
        <f t="shared" si="67"/>
        <v/>
      </c>
      <c r="L2156" s="3" t="str">
        <f>CONCATENATE("11 11.2 4b")</f>
        <v>11 11.2 4b</v>
      </c>
      <c r="M2156" s="3" t="str">
        <f>CONCATENATE("01517310445")</f>
        <v>01517310445</v>
      </c>
      <c r="N2156" s="3" t="s">
        <v>2131</v>
      </c>
      <c r="O2156" s="3"/>
      <c r="P2156" s="4">
        <v>42783</v>
      </c>
      <c r="Q2156" s="3" t="s">
        <v>27</v>
      </c>
      <c r="R2156" s="3" t="s">
        <v>28</v>
      </c>
      <c r="S2156" s="3" t="s">
        <v>29</v>
      </c>
      <c r="T2156" s="5">
        <v>8530.7099999999991</v>
      </c>
      <c r="U2156" s="5">
        <v>3678.44</v>
      </c>
      <c r="V2156" s="5">
        <v>3396.93</v>
      </c>
      <c r="W2156" s="5">
        <v>1455.34</v>
      </c>
    </row>
    <row r="2157" spans="1:23" ht="72.75">
      <c r="A2157" s="3" t="s">
        <v>23</v>
      </c>
      <c r="B2157" s="3" t="s">
        <v>24</v>
      </c>
      <c r="C2157" s="3" t="s">
        <v>35</v>
      </c>
      <c r="D2157" s="3" t="s">
        <v>39</v>
      </c>
      <c r="E2157" s="3" t="s">
        <v>30</v>
      </c>
      <c r="F2157" s="3" t="s">
        <v>533</v>
      </c>
      <c r="G2157" s="3">
        <v>2016</v>
      </c>
      <c r="H2157" s="3" t="str">
        <f>CONCATENATE("64240301057")</f>
        <v>64240301057</v>
      </c>
      <c r="I2157" s="3" t="s">
        <v>25</v>
      </c>
      <c r="J2157" s="3" t="s">
        <v>26</v>
      </c>
      <c r="K2157" s="3" t="str">
        <f t="shared" si="67"/>
        <v/>
      </c>
      <c r="L2157" s="3" t="str">
        <f>CONCATENATE("11 11.2 4b")</f>
        <v>11 11.2 4b</v>
      </c>
      <c r="M2157" s="3" t="str">
        <f>CONCATENATE("MNGGNN59T27I461H")</f>
        <v>MNGGNN59T27I461H</v>
      </c>
      <c r="N2157" s="3" t="s">
        <v>2132</v>
      </c>
      <c r="O2157" s="3"/>
      <c r="P2157" s="4">
        <v>42783</v>
      </c>
      <c r="Q2157" s="3" t="s">
        <v>27</v>
      </c>
      <c r="R2157" s="3" t="s">
        <v>28</v>
      </c>
      <c r="S2157" s="3" t="s">
        <v>29</v>
      </c>
      <c r="T2157" s="5">
        <v>11328.75</v>
      </c>
      <c r="U2157" s="5">
        <v>4884.96</v>
      </c>
      <c r="V2157" s="5">
        <v>4511.1099999999997</v>
      </c>
      <c r="W2157" s="5">
        <v>1932.68</v>
      </c>
    </row>
    <row r="2158" spans="1:23" ht="60.75">
      <c r="A2158" s="3" t="s">
        <v>23</v>
      </c>
      <c r="B2158" s="3" t="s">
        <v>24</v>
      </c>
      <c r="C2158" s="3" t="s">
        <v>35</v>
      </c>
      <c r="D2158" s="3" t="s">
        <v>36</v>
      </c>
      <c r="E2158" s="3" t="s">
        <v>33</v>
      </c>
      <c r="F2158" s="3" t="s">
        <v>89</v>
      </c>
      <c r="G2158" s="3">
        <v>2016</v>
      </c>
      <c r="H2158" s="3" t="str">
        <f>CONCATENATE("64210834244")</f>
        <v>64210834244</v>
      </c>
      <c r="I2158" s="3" t="s">
        <v>25</v>
      </c>
      <c r="J2158" s="3" t="s">
        <v>26</v>
      </c>
      <c r="K2158" s="3" t="str">
        <f t="shared" si="67"/>
        <v/>
      </c>
      <c r="L2158" s="3" t="str">
        <f>CONCATENATE("13 13.1 4a")</f>
        <v>13 13.1 4a</v>
      </c>
      <c r="M2158" s="3" t="str">
        <f>CONCATENATE("DNSNTN71C17H769I")</f>
        <v>DNSNTN71C17H769I</v>
      </c>
      <c r="N2158" s="3" t="s">
        <v>2133</v>
      </c>
      <c r="O2158" s="3"/>
      <c r="P2158" s="4">
        <v>42783</v>
      </c>
      <c r="Q2158" s="3" t="s">
        <v>27</v>
      </c>
      <c r="R2158" s="3" t="s">
        <v>28</v>
      </c>
      <c r="S2158" s="3" t="s">
        <v>29</v>
      </c>
      <c r="T2158" s="5">
        <v>3832.81</v>
      </c>
      <c r="U2158" s="5">
        <v>1652.71</v>
      </c>
      <c r="V2158" s="5">
        <v>1526.22</v>
      </c>
      <c r="W2158" s="3">
        <v>653.88</v>
      </c>
    </row>
    <row r="2159" spans="1:23" ht="60.75">
      <c r="A2159" s="3" t="s">
        <v>23</v>
      </c>
      <c r="B2159" s="3" t="s">
        <v>24</v>
      </c>
      <c r="C2159" s="3" t="s">
        <v>35</v>
      </c>
      <c r="D2159" s="3" t="s">
        <v>43</v>
      </c>
      <c r="E2159" s="3" t="s">
        <v>49</v>
      </c>
      <c r="F2159" s="3" t="s">
        <v>139</v>
      </c>
      <c r="G2159" s="3">
        <v>2016</v>
      </c>
      <c r="H2159" s="3" t="str">
        <f>CONCATENATE("64240393237")</f>
        <v>64240393237</v>
      </c>
      <c r="I2159" s="3" t="s">
        <v>25</v>
      </c>
      <c r="J2159" s="3" t="s">
        <v>26</v>
      </c>
      <c r="K2159" s="3" t="str">
        <f t="shared" si="67"/>
        <v/>
      </c>
      <c r="L2159" s="3" t="str">
        <f>CONCATENATE("11 11.2 4b")</f>
        <v>11 11.2 4b</v>
      </c>
      <c r="M2159" s="3" t="str">
        <f>CONCATENATE("VGNPGR41H05L500S")</f>
        <v>VGNPGR41H05L500S</v>
      </c>
      <c r="N2159" s="3" t="s">
        <v>2134</v>
      </c>
      <c r="O2159" s="3"/>
      <c r="P2159" s="4">
        <v>42783</v>
      </c>
      <c r="Q2159" s="3" t="s">
        <v>27</v>
      </c>
      <c r="R2159" s="3" t="s">
        <v>28</v>
      </c>
      <c r="S2159" s="3" t="s">
        <v>29</v>
      </c>
      <c r="T2159" s="5">
        <v>2381</v>
      </c>
      <c r="U2159" s="5">
        <v>1026.69</v>
      </c>
      <c r="V2159" s="3">
        <v>948.11</v>
      </c>
      <c r="W2159" s="3">
        <v>406.2</v>
      </c>
    </row>
    <row r="2160" spans="1:23" ht="60.75">
      <c r="A2160" s="3" t="s">
        <v>23</v>
      </c>
      <c r="B2160" s="3" t="s">
        <v>24</v>
      </c>
      <c r="C2160" s="3" t="s">
        <v>35</v>
      </c>
      <c r="D2160" s="3" t="s">
        <v>43</v>
      </c>
      <c r="E2160" s="3" t="s">
        <v>30</v>
      </c>
      <c r="F2160" s="3" t="s">
        <v>76</v>
      </c>
      <c r="G2160" s="3">
        <v>2016</v>
      </c>
      <c r="H2160" s="3" t="str">
        <f>CONCATENATE("64240041372")</f>
        <v>64240041372</v>
      </c>
      <c r="I2160" s="3" t="s">
        <v>25</v>
      </c>
      <c r="J2160" s="3" t="s">
        <v>26</v>
      </c>
      <c r="K2160" s="3" t="str">
        <f t="shared" si="67"/>
        <v/>
      </c>
      <c r="L2160" s="3" t="str">
        <f>CONCATENATE("11 11.2 4b")</f>
        <v>11 11.2 4b</v>
      </c>
      <c r="M2160" s="3" t="str">
        <f>CONCATENATE("FRRLRM37R26F136B")</f>
        <v>FRRLRM37R26F136B</v>
      </c>
      <c r="N2160" s="3" t="s">
        <v>2135</v>
      </c>
      <c r="O2160" s="3"/>
      <c r="P2160" s="4">
        <v>42783</v>
      </c>
      <c r="Q2160" s="3" t="s">
        <v>27</v>
      </c>
      <c r="R2160" s="3" t="s">
        <v>28</v>
      </c>
      <c r="S2160" s="3" t="s">
        <v>29</v>
      </c>
      <c r="T2160" s="5">
        <v>2316.4499999999998</v>
      </c>
      <c r="U2160" s="3">
        <v>998.85</v>
      </c>
      <c r="V2160" s="3">
        <v>922.41</v>
      </c>
      <c r="W2160" s="3">
        <v>395.19</v>
      </c>
    </row>
    <row r="2161" spans="1:23" ht="60.75">
      <c r="A2161" s="3" t="s">
        <v>23</v>
      </c>
      <c r="B2161" s="3" t="s">
        <v>24</v>
      </c>
      <c r="C2161" s="3" t="s">
        <v>35</v>
      </c>
      <c r="D2161" s="3" t="s">
        <v>48</v>
      </c>
      <c r="E2161" s="3" t="s">
        <v>30</v>
      </c>
      <c r="F2161" s="3" t="s">
        <v>91</v>
      </c>
      <c r="G2161" s="3">
        <v>2016</v>
      </c>
      <c r="H2161" s="3" t="str">
        <f>CONCATENATE("64240312526")</f>
        <v>64240312526</v>
      </c>
      <c r="I2161" s="3" t="s">
        <v>25</v>
      </c>
      <c r="J2161" s="3" t="s">
        <v>26</v>
      </c>
      <c r="K2161" s="3" t="str">
        <f t="shared" si="67"/>
        <v/>
      </c>
      <c r="L2161" s="3" t="str">
        <f>CONCATENATE("11 11.2 4b")</f>
        <v>11 11.2 4b</v>
      </c>
      <c r="M2161" s="3" t="str">
        <f>CONCATENATE("NGLRRT54H07H501P")</f>
        <v>NGLRRT54H07H501P</v>
      </c>
      <c r="N2161" s="3" t="s">
        <v>2136</v>
      </c>
      <c r="O2161" s="3"/>
      <c r="P2161" s="4">
        <v>42783</v>
      </c>
      <c r="Q2161" s="3" t="s">
        <v>27</v>
      </c>
      <c r="R2161" s="3" t="s">
        <v>28</v>
      </c>
      <c r="S2161" s="3" t="s">
        <v>29</v>
      </c>
      <c r="T2161" s="5">
        <v>8588.91</v>
      </c>
      <c r="U2161" s="5">
        <v>3703.54</v>
      </c>
      <c r="V2161" s="5">
        <v>3420.1</v>
      </c>
      <c r="W2161" s="5">
        <v>1465.27</v>
      </c>
    </row>
    <row r="2162" spans="1:23" ht="36.75">
      <c r="A2162" s="3" t="s">
        <v>23</v>
      </c>
      <c r="B2162" s="3" t="s">
        <v>24</v>
      </c>
      <c r="C2162" s="3" t="s">
        <v>35</v>
      </c>
      <c r="D2162" s="3" t="s">
        <v>36</v>
      </c>
      <c r="E2162" s="3" t="s">
        <v>30</v>
      </c>
      <c r="F2162" s="3" t="s">
        <v>37</v>
      </c>
      <c r="G2162" s="3">
        <v>2016</v>
      </c>
      <c r="H2162" s="3" t="str">
        <f>CONCATENATE("64210711384")</f>
        <v>64210711384</v>
      </c>
      <c r="I2162" s="3" t="s">
        <v>25</v>
      </c>
      <c r="J2162" s="3" t="s">
        <v>26</v>
      </c>
      <c r="K2162" s="3" t="str">
        <f t="shared" si="67"/>
        <v/>
      </c>
      <c r="L2162" s="3" t="str">
        <f>CONCATENATE("13 13.1 4a")</f>
        <v>13 13.1 4a</v>
      </c>
      <c r="M2162" s="3" t="str">
        <f>CONCATENATE("00485090443")</f>
        <v>00485090443</v>
      </c>
      <c r="N2162" s="3" t="s">
        <v>2137</v>
      </c>
      <c r="O2162" s="3"/>
      <c r="P2162" s="4">
        <v>42783</v>
      </c>
      <c r="Q2162" s="3" t="s">
        <v>27</v>
      </c>
      <c r="R2162" s="3" t="s">
        <v>28</v>
      </c>
      <c r="S2162" s="3" t="s">
        <v>29</v>
      </c>
      <c r="T2162" s="3">
        <v>483.91</v>
      </c>
      <c r="U2162" s="3">
        <v>208.66</v>
      </c>
      <c r="V2162" s="3">
        <v>192.69</v>
      </c>
      <c r="W2162" s="3">
        <v>82.56</v>
      </c>
    </row>
    <row r="2163" spans="1:23" ht="60.75">
      <c r="A2163" s="3" t="s">
        <v>23</v>
      </c>
      <c r="B2163" s="3" t="s">
        <v>24</v>
      </c>
      <c r="C2163" s="3" t="s">
        <v>35</v>
      </c>
      <c r="D2163" s="3" t="s">
        <v>36</v>
      </c>
      <c r="E2163" s="3" t="s">
        <v>32</v>
      </c>
      <c r="F2163" s="3" t="s">
        <v>208</v>
      </c>
      <c r="G2163" s="3">
        <v>2016</v>
      </c>
      <c r="H2163" s="3" t="str">
        <f>CONCATENATE("64240234712")</f>
        <v>64240234712</v>
      </c>
      <c r="I2163" s="3" t="s">
        <v>25</v>
      </c>
      <c r="J2163" s="3" t="s">
        <v>26</v>
      </c>
      <c r="K2163" s="3" t="str">
        <f t="shared" si="67"/>
        <v/>
      </c>
      <c r="L2163" s="3" t="str">
        <f>CONCATENATE("11 11.2 4b")</f>
        <v>11 11.2 4b</v>
      </c>
      <c r="M2163" s="3" t="str">
        <f>CONCATENATE("NPLLLL63A43F501J")</f>
        <v>NPLLLL63A43F501J</v>
      </c>
      <c r="N2163" s="3" t="s">
        <v>2138</v>
      </c>
      <c r="O2163" s="3"/>
      <c r="P2163" s="4">
        <v>42783</v>
      </c>
      <c r="Q2163" s="3" t="s">
        <v>27</v>
      </c>
      <c r="R2163" s="3" t="s">
        <v>28</v>
      </c>
      <c r="S2163" s="3" t="s">
        <v>29</v>
      </c>
      <c r="T2163" s="5">
        <v>4110.16</v>
      </c>
      <c r="U2163" s="5">
        <v>1772.3</v>
      </c>
      <c r="V2163" s="5">
        <v>1636.67</v>
      </c>
      <c r="W2163" s="3">
        <v>701.19</v>
      </c>
    </row>
    <row r="2164" spans="1:23" ht="60.75">
      <c r="A2164" s="3" t="s">
        <v>23</v>
      </c>
      <c r="B2164" s="3" t="s">
        <v>24</v>
      </c>
      <c r="C2164" s="3" t="s">
        <v>35</v>
      </c>
      <c r="D2164" s="3" t="s">
        <v>36</v>
      </c>
      <c r="E2164" s="3" t="s">
        <v>32</v>
      </c>
      <c r="F2164" s="3" t="s">
        <v>208</v>
      </c>
      <c r="G2164" s="3">
        <v>2016</v>
      </c>
      <c r="H2164" s="3" t="str">
        <f>CONCATENATE("64240235099")</f>
        <v>64240235099</v>
      </c>
      <c r="I2164" s="3" t="s">
        <v>25</v>
      </c>
      <c r="J2164" s="3" t="s">
        <v>26</v>
      </c>
      <c r="K2164" s="3" t="str">
        <f t="shared" si="67"/>
        <v/>
      </c>
      <c r="L2164" s="3" t="str">
        <f>CONCATENATE("11 11.1 4b")</f>
        <v>11 11.1 4b</v>
      </c>
      <c r="M2164" s="3" t="str">
        <f>CONCATENATE("CPRMRA59B24D096F")</f>
        <v>CPRMRA59B24D096F</v>
      </c>
      <c r="N2164" s="3" t="s">
        <v>2139</v>
      </c>
      <c r="O2164" s="3"/>
      <c r="P2164" s="4">
        <v>42783</v>
      </c>
      <c r="Q2164" s="3" t="s">
        <v>27</v>
      </c>
      <c r="R2164" s="3" t="s">
        <v>28</v>
      </c>
      <c r="S2164" s="3" t="s">
        <v>29</v>
      </c>
      <c r="T2164" s="5">
        <v>8937.1200000000008</v>
      </c>
      <c r="U2164" s="5">
        <v>3853.69</v>
      </c>
      <c r="V2164" s="5">
        <v>3558.76</v>
      </c>
      <c r="W2164" s="5">
        <v>1524.67</v>
      </c>
    </row>
    <row r="2165" spans="1:23" ht="60.75">
      <c r="A2165" s="3" t="s">
        <v>23</v>
      </c>
      <c r="B2165" s="3" t="s">
        <v>24</v>
      </c>
      <c r="C2165" s="3" t="s">
        <v>35</v>
      </c>
      <c r="D2165" s="3" t="s">
        <v>43</v>
      </c>
      <c r="E2165" s="3" t="s">
        <v>30</v>
      </c>
      <c r="F2165" s="3" t="s">
        <v>76</v>
      </c>
      <c r="G2165" s="3">
        <v>2016</v>
      </c>
      <c r="H2165" s="3" t="str">
        <f>CONCATENATE("64210161523")</f>
        <v>64210161523</v>
      </c>
      <c r="I2165" s="3" t="s">
        <v>31</v>
      </c>
      <c r="J2165" s="3" t="s">
        <v>26</v>
      </c>
      <c r="K2165" s="3" t="str">
        <f t="shared" si="67"/>
        <v/>
      </c>
      <c r="L2165" s="3" t="str">
        <f>CONCATENATE("13 13.1 4a")</f>
        <v>13 13.1 4a</v>
      </c>
      <c r="M2165" s="3" t="str">
        <f>CONCATENATE("RSSMNR74T59E785I")</f>
        <v>RSSMNR74T59E785I</v>
      </c>
      <c r="N2165" s="3" t="s">
        <v>2140</v>
      </c>
      <c r="O2165" s="3"/>
      <c r="P2165" s="4">
        <v>42783</v>
      </c>
      <c r="Q2165" s="3" t="s">
        <v>27</v>
      </c>
      <c r="R2165" s="3" t="s">
        <v>28</v>
      </c>
      <c r="S2165" s="3" t="s">
        <v>29</v>
      </c>
      <c r="T2165" s="3">
        <v>562.44000000000005</v>
      </c>
      <c r="U2165" s="3">
        <v>242.52</v>
      </c>
      <c r="V2165" s="3">
        <v>223.96</v>
      </c>
      <c r="W2165" s="3">
        <v>95.96</v>
      </c>
    </row>
    <row r="2166" spans="1:23" ht="36.75">
      <c r="A2166" s="3" t="s">
        <v>23</v>
      </c>
      <c r="B2166" s="3" t="s">
        <v>24</v>
      </c>
      <c r="C2166" s="3" t="s">
        <v>35</v>
      </c>
      <c r="D2166" s="3" t="s">
        <v>36</v>
      </c>
      <c r="E2166" s="3" t="s">
        <v>33</v>
      </c>
      <c r="F2166" s="3" t="s">
        <v>192</v>
      </c>
      <c r="G2166" s="3">
        <v>2016</v>
      </c>
      <c r="H2166" s="3" t="str">
        <f>CONCATENATE("64240325593")</f>
        <v>64240325593</v>
      </c>
      <c r="I2166" s="3" t="s">
        <v>25</v>
      </c>
      <c r="J2166" s="3" t="s">
        <v>26</v>
      </c>
      <c r="K2166" s="3" t="str">
        <f t="shared" si="67"/>
        <v/>
      </c>
      <c r="L2166" s="3" t="str">
        <f>CONCATENATE("11 11.2 4b")</f>
        <v>11 11.2 4b</v>
      </c>
      <c r="M2166" s="3" t="str">
        <f>CONCATENATE("00794560441")</f>
        <v>00794560441</v>
      </c>
      <c r="N2166" s="3" t="s">
        <v>2141</v>
      </c>
      <c r="O2166" s="3"/>
      <c r="P2166" s="4">
        <v>42783</v>
      </c>
      <c r="Q2166" s="3" t="s">
        <v>27</v>
      </c>
      <c r="R2166" s="3" t="s">
        <v>28</v>
      </c>
      <c r="S2166" s="3" t="s">
        <v>29</v>
      </c>
      <c r="T2166" s="5">
        <v>5026.12</v>
      </c>
      <c r="U2166" s="5">
        <v>2167.2600000000002</v>
      </c>
      <c r="V2166" s="5">
        <v>2001.4</v>
      </c>
      <c r="W2166" s="3">
        <v>857.46</v>
      </c>
    </row>
    <row r="2167" spans="1:23" ht="60.75">
      <c r="A2167" s="3" t="s">
        <v>23</v>
      </c>
      <c r="B2167" s="3" t="s">
        <v>24</v>
      </c>
      <c r="C2167" s="3" t="s">
        <v>35</v>
      </c>
      <c r="D2167" s="3" t="s">
        <v>39</v>
      </c>
      <c r="E2167" s="3" t="s">
        <v>32</v>
      </c>
      <c r="F2167" s="3" t="s">
        <v>117</v>
      </c>
      <c r="G2167" s="3">
        <v>2016</v>
      </c>
      <c r="H2167" s="3" t="str">
        <f>CONCATENATE("64240515060")</f>
        <v>64240515060</v>
      </c>
      <c r="I2167" s="3" t="s">
        <v>25</v>
      </c>
      <c r="J2167" s="3" t="s">
        <v>26</v>
      </c>
      <c r="K2167" s="3" t="str">
        <f t="shared" si="67"/>
        <v/>
      </c>
      <c r="L2167" s="3" t="str">
        <f>CONCATENATE("11 11.1 4b")</f>
        <v>11 11.1 4b</v>
      </c>
      <c r="M2167" s="3" t="str">
        <f>CONCATENATE("CLACLD78D68L219R")</f>
        <v>CLACLD78D68L219R</v>
      </c>
      <c r="N2167" s="3" t="s">
        <v>2142</v>
      </c>
      <c r="O2167" s="3"/>
      <c r="P2167" s="4">
        <v>42783</v>
      </c>
      <c r="Q2167" s="3" t="s">
        <v>27</v>
      </c>
      <c r="R2167" s="3" t="s">
        <v>28</v>
      </c>
      <c r="S2167" s="3" t="s">
        <v>29</v>
      </c>
      <c r="T2167" s="3">
        <v>606.28</v>
      </c>
      <c r="U2167" s="3">
        <v>261.43</v>
      </c>
      <c r="V2167" s="3">
        <v>241.42</v>
      </c>
      <c r="W2167" s="3">
        <v>103.43</v>
      </c>
    </row>
    <row r="2168" spans="1:23" ht="60.75">
      <c r="A2168" s="3" t="s">
        <v>23</v>
      </c>
      <c r="B2168" s="3" t="s">
        <v>24</v>
      </c>
      <c r="C2168" s="3" t="s">
        <v>35</v>
      </c>
      <c r="D2168" s="3" t="s">
        <v>39</v>
      </c>
      <c r="E2168" s="3" t="s">
        <v>30</v>
      </c>
      <c r="F2168" s="3" t="s">
        <v>285</v>
      </c>
      <c r="G2168" s="3">
        <v>2016</v>
      </c>
      <c r="H2168" s="3" t="str">
        <f>CONCATENATE("64240582870")</f>
        <v>64240582870</v>
      </c>
      <c r="I2168" s="3" t="s">
        <v>25</v>
      </c>
      <c r="J2168" s="3" t="s">
        <v>26</v>
      </c>
      <c r="K2168" s="3" t="str">
        <f t="shared" si="67"/>
        <v/>
      </c>
      <c r="L2168" s="3" t="str">
        <f>CONCATENATE("11 11.2 4b")</f>
        <v>11 11.2 4b</v>
      </c>
      <c r="M2168" s="3" t="str">
        <f>CONCATENATE("PGGLCN67R09F581A")</f>
        <v>PGGLCN67R09F581A</v>
      </c>
      <c r="N2168" s="3" t="s">
        <v>2143</v>
      </c>
      <c r="O2168" s="3"/>
      <c r="P2168" s="4">
        <v>42783</v>
      </c>
      <c r="Q2168" s="3" t="s">
        <v>27</v>
      </c>
      <c r="R2168" s="3" t="s">
        <v>28</v>
      </c>
      <c r="S2168" s="3" t="s">
        <v>29</v>
      </c>
      <c r="T2168" s="5">
        <v>1709.33</v>
      </c>
      <c r="U2168" s="3">
        <v>737.06</v>
      </c>
      <c r="V2168" s="3">
        <v>680.66</v>
      </c>
      <c r="W2168" s="3">
        <v>291.61</v>
      </c>
    </row>
    <row r="2169" spans="1:23" ht="60.75">
      <c r="A2169" s="3" t="s">
        <v>23</v>
      </c>
      <c r="B2169" s="3" t="s">
        <v>24</v>
      </c>
      <c r="C2169" s="3" t="s">
        <v>35</v>
      </c>
      <c r="D2169" s="3" t="s">
        <v>48</v>
      </c>
      <c r="E2169" s="3" t="s">
        <v>30</v>
      </c>
      <c r="F2169" s="3" t="s">
        <v>91</v>
      </c>
      <c r="G2169" s="3">
        <v>2016</v>
      </c>
      <c r="H2169" s="3" t="str">
        <f>CONCATENATE("64240315537")</f>
        <v>64240315537</v>
      </c>
      <c r="I2169" s="3" t="s">
        <v>25</v>
      </c>
      <c r="J2169" s="3" t="s">
        <v>26</v>
      </c>
      <c r="K2169" s="3" t="str">
        <f t="shared" si="67"/>
        <v/>
      </c>
      <c r="L2169" s="3" t="str">
        <f>CONCATENATE("11 11.2 4b")</f>
        <v>11 11.2 4b</v>
      </c>
      <c r="M2169" s="3" t="str">
        <f>CONCATENATE("CRCLCU74S24F051O")</f>
        <v>CRCLCU74S24F051O</v>
      </c>
      <c r="N2169" s="3" t="s">
        <v>2144</v>
      </c>
      <c r="O2169" s="3"/>
      <c r="P2169" s="4">
        <v>42783</v>
      </c>
      <c r="Q2169" s="3" t="s">
        <v>27</v>
      </c>
      <c r="R2169" s="3" t="s">
        <v>28</v>
      </c>
      <c r="S2169" s="3" t="s">
        <v>29</v>
      </c>
      <c r="T2169" s="5">
        <v>2456.1</v>
      </c>
      <c r="U2169" s="5">
        <v>1059.07</v>
      </c>
      <c r="V2169" s="3">
        <v>978.02</v>
      </c>
      <c r="W2169" s="3">
        <v>419.01</v>
      </c>
    </row>
    <row r="2170" spans="1:23" ht="72.75">
      <c r="A2170" s="3" t="s">
        <v>23</v>
      </c>
      <c r="B2170" s="3" t="s">
        <v>24</v>
      </c>
      <c r="C2170" s="3" t="s">
        <v>35</v>
      </c>
      <c r="D2170" s="3" t="s">
        <v>48</v>
      </c>
      <c r="E2170" s="3" t="s">
        <v>100</v>
      </c>
      <c r="F2170" s="3" t="s">
        <v>101</v>
      </c>
      <c r="G2170" s="3">
        <v>2016</v>
      </c>
      <c r="H2170" s="3" t="str">
        <f>CONCATENATE("64240526018")</f>
        <v>64240526018</v>
      </c>
      <c r="I2170" s="3" t="s">
        <v>25</v>
      </c>
      <c r="J2170" s="3" t="s">
        <v>26</v>
      </c>
      <c r="K2170" s="3" t="str">
        <f t="shared" si="67"/>
        <v/>
      </c>
      <c r="L2170" s="3" t="str">
        <f>CONCATENATE("11 11.2 4b")</f>
        <v>11 11.2 4b</v>
      </c>
      <c r="M2170" s="3" t="str">
        <f>CONCATENATE("PTTNMR65R60C704R")</f>
        <v>PTTNMR65R60C704R</v>
      </c>
      <c r="N2170" s="3" t="s">
        <v>2145</v>
      </c>
      <c r="O2170" s="3"/>
      <c r="P2170" s="4">
        <v>42783</v>
      </c>
      <c r="Q2170" s="3" t="s">
        <v>27</v>
      </c>
      <c r="R2170" s="3" t="s">
        <v>28</v>
      </c>
      <c r="S2170" s="3" t="s">
        <v>29</v>
      </c>
      <c r="T2170" s="5">
        <v>2239.89</v>
      </c>
      <c r="U2170" s="3">
        <v>965.84</v>
      </c>
      <c r="V2170" s="3">
        <v>891.92</v>
      </c>
      <c r="W2170" s="3">
        <v>382.13</v>
      </c>
    </row>
    <row r="2171" spans="1:23" ht="72.75">
      <c r="A2171" s="3" t="s">
        <v>23</v>
      </c>
      <c r="B2171" s="3" t="s">
        <v>24</v>
      </c>
      <c r="C2171" s="3" t="s">
        <v>35</v>
      </c>
      <c r="D2171" s="3" t="s">
        <v>48</v>
      </c>
      <c r="E2171" s="3" t="s">
        <v>30</v>
      </c>
      <c r="F2171" s="3" t="s">
        <v>91</v>
      </c>
      <c r="G2171" s="3">
        <v>2016</v>
      </c>
      <c r="H2171" s="3" t="str">
        <f>CONCATENATE("64210591273")</f>
        <v>64210591273</v>
      </c>
      <c r="I2171" s="3" t="s">
        <v>25</v>
      </c>
      <c r="J2171" s="3" t="s">
        <v>26</v>
      </c>
      <c r="K2171" s="3" t="str">
        <f t="shared" si="67"/>
        <v/>
      </c>
      <c r="L2171" s="3" t="str">
        <f>CONCATENATE("13 13.1 4a")</f>
        <v>13 13.1 4a</v>
      </c>
      <c r="M2171" s="3" t="str">
        <f>CONCATENATE("RCCDVD60M25D564G")</f>
        <v>RCCDVD60M25D564G</v>
      </c>
      <c r="N2171" s="3" t="s">
        <v>1516</v>
      </c>
      <c r="O2171" s="3"/>
      <c r="P2171" s="4">
        <v>42783</v>
      </c>
      <c r="Q2171" s="3" t="s">
        <v>27</v>
      </c>
      <c r="R2171" s="3" t="s">
        <v>28</v>
      </c>
      <c r="S2171" s="3" t="s">
        <v>29</v>
      </c>
      <c r="T2171" s="5">
        <v>4542.74</v>
      </c>
      <c r="U2171" s="5">
        <v>1958.83</v>
      </c>
      <c r="V2171" s="5">
        <v>1808.92</v>
      </c>
      <c r="W2171" s="3">
        <v>774.99</v>
      </c>
    </row>
    <row r="2172" spans="1:23" ht="36.75">
      <c r="A2172" s="3" t="s">
        <v>23</v>
      </c>
      <c r="B2172" s="3" t="s">
        <v>24</v>
      </c>
      <c r="C2172" s="3" t="s">
        <v>35</v>
      </c>
      <c r="D2172" s="3" t="s">
        <v>39</v>
      </c>
      <c r="E2172" s="3" t="s">
        <v>34</v>
      </c>
      <c r="F2172" s="3" t="s">
        <v>170</v>
      </c>
      <c r="G2172" s="3">
        <v>2016</v>
      </c>
      <c r="H2172" s="3" t="str">
        <f>CONCATENATE("64240406815")</f>
        <v>64240406815</v>
      </c>
      <c r="I2172" s="3" t="s">
        <v>25</v>
      </c>
      <c r="J2172" s="3" t="s">
        <v>26</v>
      </c>
      <c r="K2172" s="3" t="str">
        <f t="shared" si="67"/>
        <v/>
      </c>
      <c r="L2172" s="3" t="str">
        <f>CONCATENATE("11 11.1 4b")</f>
        <v>11 11.1 4b</v>
      </c>
      <c r="M2172" s="3" t="str">
        <f>CONCATENATE("02708000423")</f>
        <v>02708000423</v>
      </c>
      <c r="N2172" s="3" t="s">
        <v>2146</v>
      </c>
      <c r="O2172" s="3"/>
      <c r="P2172" s="4">
        <v>42783</v>
      </c>
      <c r="Q2172" s="3" t="s">
        <v>27</v>
      </c>
      <c r="R2172" s="3" t="s">
        <v>28</v>
      </c>
      <c r="S2172" s="3" t="s">
        <v>29</v>
      </c>
      <c r="T2172" s="5">
        <v>3704.14</v>
      </c>
      <c r="U2172" s="5">
        <v>1597.23</v>
      </c>
      <c r="V2172" s="5">
        <v>1474.99</v>
      </c>
      <c r="W2172" s="3">
        <v>631.91999999999996</v>
      </c>
    </row>
    <row r="2173" spans="1:23" ht="72.75">
      <c r="A2173" s="3" t="s">
        <v>23</v>
      </c>
      <c r="B2173" s="3" t="s">
        <v>24</v>
      </c>
      <c r="C2173" s="3" t="s">
        <v>35</v>
      </c>
      <c r="D2173" s="3" t="s">
        <v>36</v>
      </c>
      <c r="E2173" s="3" t="s">
        <v>33</v>
      </c>
      <c r="F2173" s="3" t="s">
        <v>192</v>
      </c>
      <c r="G2173" s="3">
        <v>2016</v>
      </c>
      <c r="H2173" s="3" t="str">
        <f>CONCATENATE("64240300265")</f>
        <v>64240300265</v>
      </c>
      <c r="I2173" s="3" t="s">
        <v>25</v>
      </c>
      <c r="J2173" s="3" t="s">
        <v>26</v>
      </c>
      <c r="K2173" s="3" t="str">
        <f t="shared" si="67"/>
        <v/>
      </c>
      <c r="L2173" s="3" t="str">
        <f>CONCATENATE("11 11.2 4b")</f>
        <v>11 11.2 4b</v>
      </c>
      <c r="M2173" s="3" t="str">
        <f>CONCATENATE("CMNPRP80M24A462N")</f>
        <v>CMNPRP80M24A462N</v>
      </c>
      <c r="N2173" s="3" t="s">
        <v>2147</v>
      </c>
      <c r="O2173" s="3"/>
      <c r="P2173" s="4">
        <v>42783</v>
      </c>
      <c r="Q2173" s="3" t="s">
        <v>27</v>
      </c>
      <c r="R2173" s="3" t="s">
        <v>28</v>
      </c>
      <c r="S2173" s="3" t="s">
        <v>29</v>
      </c>
      <c r="T2173" s="5">
        <v>9062.7999999999993</v>
      </c>
      <c r="U2173" s="5">
        <v>3907.88</v>
      </c>
      <c r="V2173" s="5">
        <v>3608.81</v>
      </c>
      <c r="W2173" s="5">
        <v>1546.11</v>
      </c>
    </row>
    <row r="2174" spans="1:23" ht="72.75">
      <c r="A2174" s="3" t="s">
        <v>23</v>
      </c>
      <c r="B2174" s="3" t="s">
        <v>24</v>
      </c>
      <c r="C2174" s="3" t="s">
        <v>35</v>
      </c>
      <c r="D2174" s="3" t="s">
        <v>43</v>
      </c>
      <c r="E2174" s="3" t="s">
        <v>34</v>
      </c>
      <c r="F2174" s="3" t="s">
        <v>146</v>
      </c>
      <c r="G2174" s="3">
        <v>2016</v>
      </c>
      <c r="H2174" s="3" t="str">
        <f>CONCATENATE("64240262341")</f>
        <v>64240262341</v>
      </c>
      <c r="I2174" s="3" t="s">
        <v>25</v>
      </c>
      <c r="J2174" s="3" t="s">
        <v>26</v>
      </c>
      <c r="K2174" s="3" t="str">
        <f t="shared" si="67"/>
        <v/>
      </c>
      <c r="L2174" s="3" t="str">
        <f>CONCATENATE("11 11.2 4b")</f>
        <v>11 11.2 4b</v>
      </c>
      <c r="M2174" s="3" t="str">
        <f>CONCATENATE("MZZRNI53R52G479G")</f>
        <v>MZZRNI53R52G479G</v>
      </c>
      <c r="N2174" s="3" t="s">
        <v>2148</v>
      </c>
      <c r="O2174" s="3"/>
      <c r="P2174" s="4">
        <v>42783</v>
      </c>
      <c r="Q2174" s="3" t="s">
        <v>27</v>
      </c>
      <c r="R2174" s="3" t="s">
        <v>28</v>
      </c>
      <c r="S2174" s="3" t="s">
        <v>29</v>
      </c>
      <c r="T2174" s="5">
        <v>4109.1400000000003</v>
      </c>
      <c r="U2174" s="5">
        <v>1771.86</v>
      </c>
      <c r="V2174" s="5">
        <v>1636.26</v>
      </c>
      <c r="W2174" s="3">
        <v>701.02</v>
      </c>
    </row>
    <row r="2175" spans="1:23" ht="60.75">
      <c r="A2175" s="3" t="s">
        <v>23</v>
      </c>
      <c r="B2175" s="3" t="s">
        <v>24</v>
      </c>
      <c r="C2175" s="3" t="s">
        <v>35</v>
      </c>
      <c r="D2175" s="3" t="s">
        <v>36</v>
      </c>
      <c r="E2175" s="3" t="s">
        <v>33</v>
      </c>
      <c r="F2175" s="3" t="s">
        <v>993</v>
      </c>
      <c r="G2175" s="3">
        <v>2016</v>
      </c>
      <c r="H2175" s="3" t="str">
        <f>CONCATENATE("64240601035")</f>
        <v>64240601035</v>
      </c>
      <c r="I2175" s="3" t="s">
        <v>25</v>
      </c>
      <c r="J2175" s="3" t="s">
        <v>26</v>
      </c>
      <c r="K2175" s="3" t="str">
        <f t="shared" si="67"/>
        <v/>
      </c>
      <c r="L2175" s="3" t="str">
        <f>CONCATENATE("11 11.2 4b")</f>
        <v>11 11.2 4b</v>
      </c>
      <c r="M2175" s="3" t="str">
        <f>CONCATENATE("NCCTRS37L53D096A")</f>
        <v>NCCTRS37L53D096A</v>
      </c>
      <c r="N2175" s="3" t="s">
        <v>2149</v>
      </c>
      <c r="O2175" s="3"/>
      <c r="P2175" s="4">
        <v>42783</v>
      </c>
      <c r="Q2175" s="3" t="s">
        <v>27</v>
      </c>
      <c r="R2175" s="3" t="s">
        <v>28</v>
      </c>
      <c r="S2175" s="3" t="s">
        <v>29</v>
      </c>
      <c r="T2175" s="5">
        <v>1378.36</v>
      </c>
      <c r="U2175" s="3">
        <v>594.35</v>
      </c>
      <c r="V2175" s="3">
        <v>548.86</v>
      </c>
      <c r="W2175" s="3">
        <v>235.15</v>
      </c>
    </row>
    <row r="2176" spans="1:23" ht="60.75">
      <c r="A2176" s="3" t="s">
        <v>23</v>
      </c>
      <c r="B2176" s="3" t="s">
        <v>24</v>
      </c>
      <c r="C2176" s="3" t="s">
        <v>35</v>
      </c>
      <c r="D2176" s="3" t="s">
        <v>43</v>
      </c>
      <c r="E2176" s="3" t="s">
        <v>32</v>
      </c>
      <c r="F2176" s="3" t="s">
        <v>119</v>
      </c>
      <c r="G2176" s="3">
        <v>2016</v>
      </c>
      <c r="H2176" s="3" t="str">
        <f>CONCATENATE("64210601494")</f>
        <v>64210601494</v>
      </c>
      <c r="I2176" s="3" t="s">
        <v>25</v>
      </c>
      <c r="J2176" s="3" t="s">
        <v>26</v>
      </c>
      <c r="K2176" s="3" t="str">
        <f t="shared" si="67"/>
        <v/>
      </c>
      <c r="L2176" s="3" t="str">
        <f>CONCATENATE("13 13.1 4a")</f>
        <v>13 13.1 4a</v>
      </c>
      <c r="M2176" s="3" t="str">
        <f>CONCATENATE("TRVLRD62L07B636F")</f>
        <v>TRVLRD62L07B636F</v>
      </c>
      <c r="N2176" s="3" t="s">
        <v>2150</v>
      </c>
      <c r="O2176" s="3"/>
      <c r="P2176" s="4">
        <v>42783</v>
      </c>
      <c r="Q2176" s="3" t="s">
        <v>27</v>
      </c>
      <c r="R2176" s="3" t="s">
        <v>28</v>
      </c>
      <c r="S2176" s="3" t="s">
        <v>29</v>
      </c>
      <c r="T2176" s="5">
        <v>1069.83</v>
      </c>
      <c r="U2176" s="3">
        <v>461.31</v>
      </c>
      <c r="V2176" s="3">
        <v>426.01</v>
      </c>
      <c r="W2176" s="3">
        <v>182.51</v>
      </c>
    </row>
    <row r="2177" spans="1:23" ht="72.75">
      <c r="A2177" s="3" t="s">
        <v>23</v>
      </c>
      <c r="B2177" s="3" t="s">
        <v>24</v>
      </c>
      <c r="C2177" s="3" t="s">
        <v>35</v>
      </c>
      <c r="D2177" s="3" t="s">
        <v>36</v>
      </c>
      <c r="E2177" s="3" t="s">
        <v>30</v>
      </c>
      <c r="F2177" s="3" t="s">
        <v>53</v>
      </c>
      <c r="G2177" s="3">
        <v>2016</v>
      </c>
      <c r="H2177" s="3" t="str">
        <f>CONCATENATE("64240713889")</f>
        <v>64240713889</v>
      </c>
      <c r="I2177" s="3" t="s">
        <v>25</v>
      </c>
      <c r="J2177" s="3" t="s">
        <v>26</v>
      </c>
      <c r="K2177" s="3" t="str">
        <f t="shared" si="67"/>
        <v/>
      </c>
      <c r="L2177" s="3" t="str">
        <f>CONCATENATE("11 11.2 4b")</f>
        <v>11 11.2 4b</v>
      </c>
      <c r="M2177" s="3" t="str">
        <f>CONCATENATE("CNTGCM86D30H769M")</f>
        <v>CNTGCM86D30H769M</v>
      </c>
      <c r="N2177" s="3" t="s">
        <v>2151</v>
      </c>
      <c r="O2177" s="3"/>
      <c r="P2177" s="4">
        <v>42783</v>
      </c>
      <c r="Q2177" s="3" t="s">
        <v>27</v>
      </c>
      <c r="R2177" s="3" t="s">
        <v>28</v>
      </c>
      <c r="S2177" s="3" t="s">
        <v>29</v>
      </c>
      <c r="T2177" s="5">
        <v>16857.87</v>
      </c>
      <c r="U2177" s="5">
        <v>7269.11</v>
      </c>
      <c r="V2177" s="5">
        <v>6712.8</v>
      </c>
      <c r="W2177" s="5">
        <v>2875.96</v>
      </c>
    </row>
    <row r="2178" spans="1:23" ht="72.75">
      <c r="A2178" s="3" t="s">
        <v>23</v>
      </c>
      <c r="B2178" s="3" t="s">
        <v>24</v>
      </c>
      <c r="C2178" s="3" t="s">
        <v>35</v>
      </c>
      <c r="D2178" s="3" t="s">
        <v>36</v>
      </c>
      <c r="E2178" s="3" t="s">
        <v>59</v>
      </c>
      <c r="F2178" s="3" t="s">
        <v>62</v>
      </c>
      <c r="G2178" s="3">
        <v>2016</v>
      </c>
      <c r="H2178" s="3" t="str">
        <f>CONCATENATE("64240626537")</f>
        <v>64240626537</v>
      </c>
      <c r="I2178" s="3" t="s">
        <v>25</v>
      </c>
      <c r="J2178" s="3" t="s">
        <v>26</v>
      </c>
      <c r="K2178" s="3" t="str">
        <f t="shared" si="67"/>
        <v/>
      </c>
      <c r="L2178" s="3" t="str">
        <f>CONCATENATE("11 11.2 4b")</f>
        <v>11 11.2 4b</v>
      </c>
      <c r="M2178" s="3" t="str">
        <f>CONCATENATE("NBISVT57R31A258R")</f>
        <v>NBISVT57R31A258R</v>
      </c>
      <c r="N2178" s="3" t="s">
        <v>2152</v>
      </c>
      <c r="O2178" s="3"/>
      <c r="P2178" s="4">
        <v>42783</v>
      </c>
      <c r="Q2178" s="3" t="s">
        <v>27</v>
      </c>
      <c r="R2178" s="3" t="s">
        <v>28</v>
      </c>
      <c r="S2178" s="3" t="s">
        <v>29</v>
      </c>
      <c r="T2178" s="5">
        <v>6305.02</v>
      </c>
      <c r="U2178" s="5">
        <v>2718.72</v>
      </c>
      <c r="V2178" s="5">
        <v>2510.66</v>
      </c>
      <c r="W2178" s="5">
        <v>1075.6400000000001</v>
      </c>
    </row>
    <row r="2179" spans="1:23" ht="36.75">
      <c r="A2179" s="3" t="s">
        <v>23</v>
      </c>
      <c r="B2179" s="3" t="s">
        <v>24</v>
      </c>
      <c r="C2179" s="3" t="s">
        <v>35</v>
      </c>
      <c r="D2179" s="3" t="s">
        <v>36</v>
      </c>
      <c r="E2179" s="3" t="s">
        <v>33</v>
      </c>
      <c r="F2179" s="3" t="s">
        <v>89</v>
      </c>
      <c r="G2179" s="3">
        <v>2016</v>
      </c>
      <c r="H2179" s="3" t="str">
        <f>CONCATENATE("64210770976")</f>
        <v>64210770976</v>
      </c>
      <c r="I2179" s="3" t="s">
        <v>25</v>
      </c>
      <c r="J2179" s="3" t="s">
        <v>26</v>
      </c>
      <c r="K2179" s="3" t="str">
        <f t="shared" si="67"/>
        <v/>
      </c>
      <c r="L2179" s="3" t="str">
        <f>CONCATENATE("13 13.1 4a")</f>
        <v>13 13.1 4a</v>
      </c>
      <c r="M2179" s="3" t="str">
        <f>CONCATENATE("02274660444")</f>
        <v>02274660444</v>
      </c>
      <c r="N2179" s="3" t="s">
        <v>2153</v>
      </c>
      <c r="O2179" s="3"/>
      <c r="P2179" s="4">
        <v>42783</v>
      </c>
      <c r="Q2179" s="3" t="s">
        <v>27</v>
      </c>
      <c r="R2179" s="3" t="s">
        <v>28</v>
      </c>
      <c r="S2179" s="3" t="s">
        <v>29</v>
      </c>
      <c r="T2179" s="3">
        <v>507.2</v>
      </c>
      <c r="U2179" s="3">
        <v>218.7</v>
      </c>
      <c r="V2179" s="3">
        <v>201.97</v>
      </c>
      <c r="W2179" s="3">
        <v>86.53</v>
      </c>
    </row>
    <row r="2180" spans="1:23" ht="60.75">
      <c r="A2180" s="3" t="s">
        <v>23</v>
      </c>
      <c r="B2180" s="3" t="s">
        <v>24</v>
      </c>
      <c r="C2180" s="3" t="s">
        <v>35</v>
      </c>
      <c r="D2180" s="3" t="s">
        <v>48</v>
      </c>
      <c r="E2180" s="3" t="s">
        <v>30</v>
      </c>
      <c r="F2180" s="3" t="s">
        <v>157</v>
      </c>
      <c r="G2180" s="3">
        <v>2016</v>
      </c>
      <c r="H2180" s="3" t="str">
        <f>CONCATENATE("64240280616")</f>
        <v>64240280616</v>
      </c>
      <c r="I2180" s="3" t="s">
        <v>25</v>
      </c>
      <c r="J2180" s="3" t="s">
        <v>26</v>
      </c>
      <c r="K2180" s="3" t="str">
        <f t="shared" si="67"/>
        <v/>
      </c>
      <c r="L2180" s="3" t="str">
        <f>CONCATENATE("11 11.2 4b")</f>
        <v>11 11.2 4b</v>
      </c>
      <c r="M2180" s="3" t="str">
        <f>CONCATENATE("BCCMRT42A21A252X")</f>
        <v>BCCMRT42A21A252X</v>
      </c>
      <c r="N2180" s="3" t="s">
        <v>2154</v>
      </c>
      <c r="O2180" s="3"/>
      <c r="P2180" s="4">
        <v>42783</v>
      </c>
      <c r="Q2180" s="3" t="s">
        <v>27</v>
      </c>
      <c r="R2180" s="3" t="s">
        <v>28</v>
      </c>
      <c r="S2180" s="3" t="s">
        <v>29</v>
      </c>
      <c r="T2180" s="5">
        <v>5925.26</v>
      </c>
      <c r="U2180" s="5">
        <v>2554.9699999999998</v>
      </c>
      <c r="V2180" s="5">
        <v>2359.44</v>
      </c>
      <c r="W2180" s="5">
        <v>1010.85</v>
      </c>
    </row>
    <row r="2181" spans="1:23" ht="60.75">
      <c r="A2181" s="3" t="s">
        <v>23</v>
      </c>
      <c r="B2181" s="3" t="s">
        <v>24</v>
      </c>
      <c r="C2181" s="3" t="s">
        <v>35</v>
      </c>
      <c r="D2181" s="3" t="s">
        <v>39</v>
      </c>
      <c r="E2181" s="3" t="s">
        <v>30</v>
      </c>
      <c r="F2181" s="3" t="s">
        <v>84</v>
      </c>
      <c r="G2181" s="3">
        <v>2016</v>
      </c>
      <c r="H2181" s="3" t="str">
        <f>CONCATENATE("64210845018")</f>
        <v>64210845018</v>
      </c>
      <c r="I2181" s="3" t="s">
        <v>25</v>
      </c>
      <c r="J2181" s="3" t="s">
        <v>26</v>
      </c>
      <c r="K2181" s="3" t="str">
        <f t="shared" si="67"/>
        <v/>
      </c>
      <c r="L2181" s="3" t="str">
        <f>CONCATENATE("13 13.1 4a")</f>
        <v>13 13.1 4a</v>
      </c>
      <c r="M2181" s="3" t="str">
        <f>CONCATENATE("TRCFBA65S20A329C")</f>
        <v>TRCFBA65S20A329C</v>
      </c>
      <c r="N2181" s="3" t="s">
        <v>2155</v>
      </c>
      <c r="O2181" s="3"/>
      <c r="P2181" s="4">
        <v>42783</v>
      </c>
      <c r="Q2181" s="3" t="s">
        <v>27</v>
      </c>
      <c r="R2181" s="3" t="s">
        <v>28</v>
      </c>
      <c r="S2181" s="3" t="s">
        <v>29</v>
      </c>
      <c r="T2181" s="5">
        <v>2518.7800000000002</v>
      </c>
      <c r="U2181" s="5">
        <v>1086.0999999999999</v>
      </c>
      <c r="V2181" s="5">
        <v>1002.98</v>
      </c>
      <c r="W2181" s="3">
        <v>429.7</v>
      </c>
    </row>
    <row r="2182" spans="1:23" ht="72.75">
      <c r="A2182" s="3" t="s">
        <v>23</v>
      </c>
      <c r="B2182" s="3" t="s">
        <v>24</v>
      </c>
      <c r="C2182" s="3" t="s">
        <v>35</v>
      </c>
      <c r="D2182" s="3" t="s">
        <v>36</v>
      </c>
      <c r="E2182" s="3" t="s">
        <v>34</v>
      </c>
      <c r="F2182" s="3" t="s">
        <v>273</v>
      </c>
      <c r="G2182" s="3">
        <v>2016</v>
      </c>
      <c r="H2182" s="3" t="str">
        <f>CONCATENATE("64240341731")</f>
        <v>64240341731</v>
      </c>
      <c r="I2182" s="3" t="s">
        <v>25</v>
      </c>
      <c r="J2182" s="3" t="s">
        <v>26</v>
      </c>
      <c r="K2182" s="3" t="str">
        <f t="shared" si="67"/>
        <v/>
      </c>
      <c r="L2182" s="3" t="str">
        <f>CONCATENATE("11 11.2 4b")</f>
        <v>11 11.2 4b</v>
      </c>
      <c r="M2182" s="3" t="str">
        <f>CONCATENATE("MLGNNE36M47G536O")</f>
        <v>MLGNNE36M47G536O</v>
      </c>
      <c r="N2182" s="3" t="s">
        <v>2156</v>
      </c>
      <c r="O2182" s="3"/>
      <c r="P2182" s="4">
        <v>42783</v>
      </c>
      <c r="Q2182" s="3" t="s">
        <v>27</v>
      </c>
      <c r="R2182" s="3" t="s">
        <v>28</v>
      </c>
      <c r="S2182" s="3" t="s">
        <v>29</v>
      </c>
      <c r="T2182" s="5">
        <v>2094.9299999999998</v>
      </c>
      <c r="U2182" s="3">
        <v>903.33</v>
      </c>
      <c r="V2182" s="3">
        <v>834.2</v>
      </c>
      <c r="W2182" s="3">
        <v>357.4</v>
      </c>
    </row>
    <row r="2183" spans="1:23" ht="60.75">
      <c r="A2183" s="3" t="s">
        <v>23</v>
      </c>
      <c r="B2183" s="3" t="s">
        <v>24</v>
      </c>
      <c r="C2183" s="3" t="s">
        <v>35</v>
      </c>
      <c r="D2183" s="3" t="s">
        <v>48</v>
      </c>
      <c r="E2183" s="3" t="s">
        <v>34</v>
      </c>
      <c r="F2183" s="3" t="s">
        <v>141</v>
      </c>
      <c r="G2183" s="3">
        <v>2016</v>
      </c>
      <c r="H2183" s="3" t="str">
        <f>CONCATENATE("64240299822")</f>
        <v>64240299822</v>
      </c>
      <c r="I2183" s="3" t="s">
        <v>25</v>
      </c>
      <c r="J2183" s="3" t="s">
        <v>26</v>
      </c>
      <c r="K2183" s="3" t="str">
        <f t="shared" si="67"/>
        <v/>
      </c>
      <c r="L2183" s="3" t="str">
        <f>CONCATENATE("11 11.2 4b")</f>
        <v>11 11.2 4b</v>
      </c>
      <c r="M2183" s="3" t="str">
        <f>CONCATENATE("PRSPPN53T07G058L")</f>
        <v>PRSPPN53T07G058L</v>
      </c>
      <c r="N2183" s="3" t="s">
        <v>2157</v>
      </c>
      <c r="O2183" s="3"/>
      <c r="P2183" s="4">
        <v>42783</v>
      </c>
      <c r="Q2183" s="3" t="s">
        <v>27</v>
      </c>
      <c r="R2183" s="3" t="s">
        <v>28</v>
      </c>
      <c r="S2183" s="3" t="s">
        <v>29</v>
      </c>
      <c r="T2183" s="5">
        <v>13815.92</v>
      </c>
      <c r="U2183" s="5">
        <v>5957.42</v>
      </c>
      <c r="V2183" s="5">
        <v>5501.5</v>
      </c>
      <c r="W2183" s="5">
        <v>2357</v>
      </c>
    </row>
    <row r="2184" spans="1:23" ht="60.75">
      <c r="A2184" s="3" t="s">
        <v>23</v>
      </c>
      <c r="B2184" s="3" t="s">
        <v>24</v>
      </c>
      <c r="C2184" s="3" t="s">
        <v>35</v>
      </c>
      <c r="D2184" s="3" t="s">
        <v>39</v>
      </c>
      <c r="E2184" s="3" t="s">
        <v>32</v>
      </c>
      <c r="F2184" s="3" t="s">
        <v>69</v>
      </c>
      <c r="G2184" s="3">
        <v>2016</v>
      </c>
      <c r="H2184" s="3" t="str">
        <f>CONCATENATE("64240594677")</f>
        <v>64240594677</v>
      </c>
      <c r="I2184" s="3" t="s">
        <v>25</v>
      </c>
      <c r="J2184" s="3" t="s">
        <v>26</v>
      </c>
      <c r="K2184" s="3" t="str">
        <f t="shared" si="67"/>
        <v/>
      </c>
      <c r="L2184" s="3" t="str">
        <f>CONCATENATE("11 11.2 4b")</f>
        <v>11 11.2 4b</v>
      </c>
      <c r="M2184" s="3" t="str">
        <f>CONCATENATE("RNLGPP65E29F051I")</f>
        <v>RNLGPP65E29F051I</v>
      </c>
      <c r="N2184" s="3" t="s">
        <v>2158</v>
      </c>
      <c r="O2184" s="3"/>
      <c r="P2184" s="4">
        <v>42783</v>
      </c>
      <c r="Q2184" s="3" t="s">
        <v>27</v>
      </c>
      <c r="R2184" s="3" t="s">
        <v>28</v>
      </c>
      <c r="S2184" s="3" t="s">
        <v>29</v>
      </c>
      <c r="T2184" s="5">
        <v>4767.59</v>
      </c>
      <c r="U2184" s="5">
        <v>2055.7800000000002</v>
      </c>
      <c r="V2184" s="5">
        <v>1898.45</v>
      </c>
      <c r="W2184" s="3">
        <v>813.36</v>
      </c>
    </row>
    <row r="2185" spans="1:23" ht="72.75">
      <c r="A2185" s="3" t="s">
        <v>23</v>
      </c>
      <c r="B2185" s="3" t="s">
        <v>24</v>
      </c>
      <c r="C2185" s="3" t="s">
        <v>35</v>
      </c>
      <c r="D2185" s="3" t="s">
        <v>43</v>
      </c>
      <c r="E2185" s="3" t="s">
        <v>30</v>
      </c>
      <c r="F2185" s="3" t="s">
        <v>124</v>
      </c>
      <c r="G2185" s="3">
        <v>2016</v>
      </c>
      <c r="H2185" s="3" t="str">
        <f>CONCATENATE("64211102104")</f>
        <v>64211102104</v>
      </c>
      <c r="I2185" s="3" t="s">
        <v>25</v>
      </c>
      <c r="J2185" s="3" t="s">
        <v>26</v>
      </c>
      <c r="K2185" s="3" t="str">
        <f t="shared" si="67"/>
        <v/>
      </c>
      <c r="L2185" s="3" t="str">
        <f>CONCATENATE("13 13.1 4a")</f>
        <v>13 13.1 4a</v>
      </c>
      <c r="M2185" s="3" t="str">
        <f>CONCATENATE("GGLMSM77M25I287A")</f>
        <v>GGLMSM77M25I287A</v>
      </c>
      <c r="N2185" s="3" t="s">
        <v>2159</v>
      </c>
      <c r="O2185" s="3"/>
      <c r="P2185" s="4">
        <v>42783</v>
      </c>
      <c r="Q2185" s="3" t="s">
        <v>27</v>
      </c>
      <c r="R2185" s="3" t="s">
        <v>28</v>
      </c>
      <c r="S2185" s="3" t="s">
        <v>29</v>
      </c>
      <c r="T2185" s="5">
        <v>4661.82</v>
      </c>
      <c r="U2185" s="5">
        <v>2010.18</v>
      </c>
      <c r="V2185" s="5">
        <v>1856.34</v>
      </c>
      <c r="W2185" s="3">
        <v>795.3</v>
      </c>
    </row>
    <row r="2186" spans="1:23" ht="60.75">
      <c r="A2186" s="3" t="s">
        <v>23</v>
      </c>
      <c r="B2186" s="3" t="s">
        <v>24</v>
      </c>
      <c r="C2186" s="3" t="s">
        <v>35</v>
      </c>
      <c r="D2186" s="3" t="s">
        <v>43</v>
      </c>
      <c r="E2186" s="3" t="s">
        <v>30</v>
      </c>
      <c r="F2186" s="3" t="s">
        <v>109</v>
      </c>
      <c r="G2186" s="3">
        <v>2016</v>
      </c>
      <c r="H2186" s="3" t="str">
        <f>CONCATENATE("64240767919")</f>
        <v>64240767919</v>
      </c>
      <c r="I2186" s="3" t="s">
        <v>25</v>
      </c>
      <c r="J2186" s="3" t="s">
        <v>26</v>
      </c>
      <c r="K2186" s="3" t="str">
        <f t="shared" si="67"/>
        <v/>
      </c>
      <c r="L2186" s="3" t="str">
        <f>CONCATENATE("11 11.1 4b")</f>
        <v>11 11.1 4b</v>
      </c>
      <c r="M2186" s="3" t="str">
        <f>CONCATENATE("BGTLRN59D48G089K")</f>
        <v>BGTLRN59D48G089K</v>
      </c>
      <c r="N2186" s="3" t="s">
        <v>2160</v>
      </c>
      <c r="O2186" s="3"/>
      <c r="P2186" s="4">
        <v>42783</v>
      </c>
      <c r="Q2186" s="3" t="s">
        <v>27</v>
      </c>
      <c r="R2186" s="3" t="s">
        <v>28</v>
      </c>
      <c r="S2186" s="3" t="s">
        <v>29</v>
      </c>
      <c r="T2186" s="5">
        <v>2195.4499999999998</v>
      </c>
      <c r="U2186" s="3">
        <v>946.68</v>
      </c>
      <c r="V2186" s="3">
        <v>874.23</v>
      </c>
      <c r="W2186" s="3">
        <v>374.54</v>
      </c>
    </row>
    <row r="2187" spans="1:23" ht="36.75">
      <c r="A2187" s="3" t="s">
        <v>23</v>
      </c>
      <c r="B2187" s="3" t="s">
        <v>24</v>
      </c>
      <c r="C2187" s="3" t="s">
        <v>35</v>
      </c>
      <c r="D2187" s="3" t="s">
        <v>48</v>
      </c>
      <c r="E2187" s="3" t="s">
        <v>49</v>
      </c>
      <c r="F2187" s="3" t="s">
        <v>80</v>
      </c>
      <c r="G2187" s="3">
        <v>2016</v>
      </c>
      <c r="H2187" s="3" t="str">
        <f>CONCATENATE("64240265344")</f>
        <v>64240265344</v>
      </c>
      <c r="I2187" s="3" t="s">
        <v>25</v>
      </c>
      <c r="J2187" s="3" t="s">
        <v>26</v>
      </c>
      <c r="K2187" s="3" t="str">
        <f t="shared" si="67"/>
        <v/>
      </c>
      <c r="L2187" s="3" t="str">
        <f>CONCATENATE("11 11.1 4b")</f>
        <v>11 11.1 4b</v>
      </c>
      <c r="M2187" s="3" t="str">
        <f>CONCATENATE("01915020430")</f>
        <v>01915020430</v>
      </c>
      <c r="N2187" s="3" t="s">
        <v>2161</v>
      </c>
      <c r="O2187" s="3"/>
      <c r="P2187" s="4">
        <v>42783</v>
      </c>
      <c r="Q2187" s="3" t="s">
        <v>27</v>
      </c>
      <c r="R2187" s="3" t="s">
        <v>28</v>
      </c>
      <c r="S2187" s="3" t="s">
        <v>29</v>
      </c>
      <c r="T2187" s="5">
        <v>10305.5</v>
      </c>
      <c r="U2187" s="5">
        <v>4443.7299999999996</v>
      </c>
      <c r="V2187" s="5">
        <v>4103.6499999999996</v>
      </c>
      <c r="W2187" s="5">
        <v>1758.12</v>
      </c>
    </row>
    <row r="2188" spans="1:23" ht="60.75">
      <c r="A2188" s="3" t="s">
        <v>23</v>
      </c>
      <c r="B2188" s="3" t="s">
        <v>24</v>
      </c>
      <c r="C2188" s="3" t="s">
        <v>35</v>
      </c>
      <c r="D2188" s="3" t="s">
        <v>43</v>
      </c>
      <c r="E2188" s="3" t="s">
        <v>34</v>
      </c>
      <c r="F2188" s="3" t="s">
        <v>146</v>
      </c>
      <c r="G2188" s="3">
        <v>2016</v>
      </c>
      <c r="H2188" s="3" t="str">
        <f>CONCATENATE("64240209938")</f>
        <v>64240209938</v>
      </c>
      <c r="I2188" s="3" t="s">
        <v>25</v>
      </c>
      <c r="J2188" s="3" t="s">
        <v>26</v>
      </c>
      <c r="K2188" s="3" t="str">
        <f t="shared" si="67"/>
        <v/>
      </c>
      <c r="L2188" s="3" t="str">
        <f>CONCATENATE("11 11.2 4b")</f>
        <v>11 11.2 4b</v>
      </c>
      <c r="M2188" s="3" t="str">
        <f>CONCATENATE("DVUPLA56L01D488V")</f>
        <v>DVUPLA56L01D488V</v>
      </c>
      <c r="N2188" s="3" t="s">
        <v>2162</v>
      </c>
      <c r="O2188" s="3"/>
      <c r="P2188" s="4">
        <v>42783</v>
      </c>
      <c r="Q2188" s="3" t="s">
        <v>27</v>
      </c>
      <c r="R2188" s="3" t="s">
        <v>28</v>
      </c>
      <c r="S2188" s="3" t="s">
        <v>29</v>
      </c>
      <c r="T2188" s="5">
        <v>3898.23</v>
      </c>
      <c r="U2188" s="5">
        <v>1680.92</v>
      </c>
      <c r="V2188" s="5">
        <v>1552.28</v>
      </c>
      <c r="W2188" s="3">
        <v>665.03</v>
      </c>
    </row>
    <row r="2189" spans="1:23" ht="60.75">
      <c r="A2189" s="3" t="s">
        <v>23</v>
      </c>
      <c r="B2189" s="3" t="s">
        <v>24</v>
      </c>
      <c r="C2189" s="3" t="s">
        <v>35</v>
      </c>
      <c r="D2189" s="3" t="s">
        <v>39</v>
      </c>
      <c r="E2189" s="3" t="s">
        <v>32</v>
      </c>
      <c r="F2189" s="3" t="s">
        <v>355</v>
      </c>
      <c r="G2189" s="3">
        <v>2016</v>
      </c>
      <c r="H2189" s="3" t="str">
        <f>CONCATENATE("64240588828")</f>
        <v>64240588828</v>
      </c>
      <c r="I2189" s="3" t="s">
        <v>25</v>
      </c>
      <c r="J2189" s="3" t="s">
        <v>26</v>
      </c>
      <c r="K2189" s="3" t="str">
        <f t="shared" si="67"/>
        <v/>
      </c>
      <c r="L2189" s="3" t="str">
        <f>CONCATENATE("11 11.2 4b")</f>
        <v>11 11.2 4b</v>
      </c>
      <c r="M2189" s="3" t="str">
        <f>CONCATENATE("BRCPLA68L64G157H")</f>
        <v>BRCPLA68L64G157H</v>
      </c>
      <c r="N2189" s="3" t="s">
        <v>2163</v>
      </c>
      <c r="O2189" s="3"/>
      <c r="P2189" s="4">
        <v>42783</v>
      </c>
      <c r="Q2189" s="3" t="s">
        <v>27</v>
      </c>
      <c r="R2189" s="3" t="s">
        <v>28</v>
      </c>
      <c r="S2189" s="3" t="s">
        <v>29</v>
      </c>
      <c r="T2189" s="5">
        <v>1750.38</v>
      </c>
      <c r="U2189" s="3">
        <v>754.76</v>
      </c>
      <c r="V2189" s="3">
        <v>697</v>
      </c>
      <c r="W2189" s="3">
        <v>298.62</v>
      </c>
    </row>
    <row r="2190" spans="1:23" ht="60.75">
      <c r="A2190" s="3" t="s">
        <v>23</v>
      </c>
      <c r="B2190" s="3" t="s">
        <v>24</v>
      </c>
      <c r="C2190" s="3" t="s">
        <v>35</v>
      </c>
      <c r="D2190" s="3" t="s">
        <v>36</v>
      </c>
      <c r="E2190" s="3" t="s">
        <v>32</v>
      </c>
      <c r="F2190" s="3" t="s">
        <v>208</v>
      </c>
      <c r="G2190" s="3">
        <v>2016</v>
      </c>
      <c r="H2190" s="3" t="str">
        <f>CONCATENATE("64240278594")</f>
        <v>64240278594</v>
      </c>
      <c r="I2190" s="3" t="s">
        <v>25</v>
      </c>
      <c r="J2190" s="3" t="s">
        <v>26</v>
      </c>
      <c r="K2190" s="3" t="str">
        <f t="shared" si="67"/>
        <v/>
      </c>
      <c r="L2190" s="3" t="str">
        <f>CONCATENATE("11 11.2 4b")</f>
        <v>11 11.2 4b</v>
      </c>
      <c r="M2190" s="3" t="str">
        <f>CONCATENATE("PLNNZE50H04F415L")</f>
        <v>PLNNZE50H04F415L</v>
      </c>
      <c r="N2190" s="3" t="s">
        <v>2164</v>
      </c>
      <c r="O2190" s="3"/>
      <c r="P2190" s="4">
        <v>42783</v>
      </c>
      <c r="Q2190" s="3" t="s">
        <v>27</v>
      </c>
      <c r="R2190" s="3" t="s">
        <v>28</v>
      </c>
      <c r="S2190" s="3" t="s">
        <v>29</v>
      </c>
      <c r="T2190" s="5">
        <v>5511.86</v>
      </c>
      <c r="U2190" s="5">
        <v>2376.71</v>
      </c>
      <c r="V2190" s="5">
        <v>2194.8200000000002</v>
      </c>
      <c r="W2190" s="3">
        <v>940.33</v>
      </c>
    </row>
    <row r="2191" spans="1:23" ht="36.75">
      <c r="A2191" s="3" t="s">
        <v>23</v>
      </c>
      <c r="B2191" s="3" t="s">
        <v>24</v>
      </c>
      <c r="C2191" s="3" t="s">
        <v>35</v>
      </c>
      <c r="D2191" s="3" t="s">
        <v>39</v>
      </c>
      <c r="E2191" s="3" t="s">
        <v>30</v>
      </c>
      <c r="F2191" s="3" t="s">
        <v>196</v>
      </c>
      <c r="G2191" s="3">
        <v>2016</v>
      </c>
      <c r="H2191" s="3" t="str">
        <f>CONCATENATE("64240660411")</f>
        <v>64240660411</v>
      </c>
      <c r="I2191" s="3" t="s">
        <v>25</v>
      </c>
      <c r="J2191" s="3" t="s">
        <v>26</v>
      </c>
      <c r="K2191" s="3" t="str">
        <f t="shared" si="67"/>
        <v/>
      </c>
      <c r="L2191" s="3" t="str">
        <f>CONCATENATE("11 11.1 4b")</f>
        <v>11 11.1 4b</v>
      </c>
      <c r="M2191" s="3" t="str">
        <f>CONCATENATE("02375540420")</f>
        <v>02375540420</v>
      </c>
      <c r="N2191" s="3" t="s">
        <v>2165</v>
      </c>
      <c r="O2191" s="3"/>
      <c r="P2191" s="4">
        <v>42783</v>
      </c>
      <c r="Q2191" s="3" t="s">
        <v>27</v>
      </c>
      <c r="R2191" s="3" t="s">
        <v>28</v>
      </c>
      <c r="S2191" s="3" t="s">
        <v>29</v>
      </c>
      <c r="T2191" s="5">
        <v>2637.41</v>
      </c>
      <c r="U2191" s="5">
        <v>1137.25</v>
      </c>
      <c r="V2191" s="5">
        <v>1050.22</v>
      </c>
      <c r="W2191" s="3">
        <v>449.94</v>
      </c>
    </row>
    <row r="2192" spans="1:23" ht="60.75">
      <c r="A2192" s="3" t="s">
        <v>23</v>
      </c>
      <c r="B2192" s="3" t="s">
        <v>24</v>
      </c>
      <c r="C2192" s="3" t="s">
        <v>35</v>
      </c>
      <c r="D2192" s="3" t="s">
        <v>36</v>
      </c>
      <c r="E2192" s="3" t="s">
        <v>32</v>
      </c>
      <c r="F2192" s="3" t="s">
        <v>208</v>
      </c>
      <c r="G2192" s="3">
        <v>2016</v>
      </c>
      <c r="H2192" s="3" t="str">
        <f>CONCATENATE("64240277950")</f>
        <v>64240277950</v>
      </c>
      <c r="I2192" s="3" t="s">
        <v>25</v>
      </c>
      <c r="J2192" s="3" t="s">
        <v>26</v>
      </c>
      <c r="K2192" s="3" t="str">
        <f t="shared" si="67"/>
        <v/>
      </c>
      <c r="L2192" s="3" t="str">
        <f>CONCATENATE("11 11.2 4b")</f>
        <v>11 11.2 4b</v>
      </c>
      <c r="M2192" s="3" t="str">
        <f>CONCATENATE("MRZRTI46C42G005Q")</f>
        <v>MRZRTI46C42G005Q</v>
      </c>
      <c r="N2192" s="3" t="s">
        <v>2166</v>
      </c>
      <c r="O2192" s="3"/>
      <c r="P2192" s="4">
        <v>42783</v>
      </c>
      <c r="Q2192" s="3" t="s">
        <v>27</v>
      </c>
      <c r="R2192" s="3" t="s">
        <v>28</v>
      </c>
      <c r="S2192" s="3" t="s">
        <v>29</v>
      </c>
      <c r="T2192" s="3">
        <v>903.54</v>
      </c>
      <c r="U2192" s="3">
        <v>389.61</v>
      </c>
      <c r="V2192" s="3">
        <v>359.79</v>
      </c>
      <c r="W2192" s="3">
        <v>154.13999999999999</v>
      </c>
    </row>
    <row r="2193" spans="1:23" ht="36.75">
      <c r="A2193" s="3" t="s">
        <v>23</v>
      </c>
      <c r="B2193" s="3" t="s">
        <v>24</v>
      </c>
      <c r="C2193" s="3" t="s">
        <v>35</v>
      </c>
      <c r="D2193" s="3" t="s">
        <v>48</v>
      </c>
      <c r="E2193" s="3" t="s">
        <v>49</v>
      </c>
      <c r="F2193" s="3" t="s">
        <v>80</v>
      </c>
      <c r="G2193" s="3">
        <v>2016</v>
      </c>
      <c r="H2193" s="3" t="str">
        <f>CONCATENATE("64240260873")</f>
        <v>64240260873</v>
      </c>
      <c r="I2193" s="3" t="s">
        <v>25</v>
      </c>
      <c r="J2193" s="3" t="s">
        <v>26</v>
      </c>
      <c r="K2193" s="3" t="str">
        <f t="shared" si="67"/>
        <v/>
      </c>
      <c r="L2193" s="3" t="str">
        <f>CONCATENATE("11 11.2 4b")</f>
        <v>11 11.2 4b</v>
      </c>
      <c r="M2193" s="3" t="str">
        <f>CONCATENATE("01745850436")</f>
        <v>01745850436</v>
      </c>
      <c r="N2193" s="3" t="s">
        <v>2167</v>
      </c>
      <c r="O2193" s="3"/>
      <c r="P2193" s="4">
        <v>42783</v>
      </c>
      <c r="Q2193" s="3" t="s">
        <v>27</v>
      </c>
      <c r="R2193" s="3" t="s">
        <v>28</v>
      </c>
      <c r="S2193" s="3" t="s">
        <v>29</v>
      </c>
      <c r="T2193" s="5">
        <v>1998.84</v>
      </c>
      <c r="U2193" s="3">
        <v>861.9</v>
      </c>
      <c r="V2193" s="3">
        <v>795.94</v>
      </c>
      <c r="W2193" s="3">
        <v>341</v>
      </c>
    </row>
    <row r="2194" spans="1:23" ht="60.75">
      <c r="A2194" s="3" t="s">
        <v>23</v>
      </c>
      <c r="B2194" s="3" t="s">
        <v>24</v>
      </c>
      <c r="C2194" s="3" t="s">
        <v>35</v>
      </c>
      <c r="D2194" s="3" t="s">
        <v>48</v>
      </c>
      <c r="E2194" s="3" t="s">
        <v>49</v>
      </c>
      <c r="F2194" s="3" t="s">
        <v>74</v>
      </c>
      <c r="G2194" s="3">
        <v>2016</v>
      </c>
      <c r="H2194" s="3" t="str">
        <f>CONCATENATE("64210477986")</f>
        <v>64210477986</v>
      </c>
      <c r="I2194" s="3" t="s">
        <v>25</v>
      </c>
      <c r="J2194" s="3" t="s">
        <v>26</v>
      </c>
      <c r="K2194" s="3" t="str">
        <f t="shared" ref="K2194:K2257" si="68">CONCATENATE("")</f>
        <v/>
      </c>
      <c r="L2194" s="3" t="str">
        <f>CONCATENATE("13 13.1 4a")</f>
        <v>13 13.1 4a</v>
      </c>
      <c r="M2194" s="3" t="str">
        <f>CONCATENATE("CRFPPN66A10M078Z")</f>
        <v>CRFPPN66A10M078Z</v>
      </c>
      <c r="N2194" s="3" t="s">
        <v>777</v>
      </c>
      <c r="O2194" s="3"/>
      <c r="P2194" s="4">
        <v>42783</v>
      </c>
      <c r="Q2194" s="3" t="s">
        <v>27</v>
      </c>
      <c r="R2194" s="3" t="s">
        <v>28</v>
      </c>
      <c r="S2194" s="3" t="s">
        <v>29</v>
      </c>
      <c r="T2194" s="5">
        <v>4590</v>
      </c>
      <c r="U2194" s="5">
        <v>1979.21</v>
      </c>
      <c r="V2194" s="5">
        <v>1827.74</v>
      </c>
      <c r="W2194" s="3">
        <v>783.05</v>
      </c>
    </row>
    <row r="2195" spans="1:23" ht="36.75">
      <c r="A2195" s="3" t="s">
        <v>23</v>
      </c>
      <c r="B2195" s="3" t="s">
        <v>24</v>
      </c>
      <c r="C2195" s="3" t="s">
        <v>35</v>
      </c>
      <c r="D2195" s="3" t="s">
        <v>36</v>
      </c>
      <c r="E2195" s="3" t="s">
        <v>30</v>
      </c>
      <c r="F2195" s="3" t="s">
        <v>257</v>
      </c>
      <c r="G2195" s="3">
        <v>2016</v>
      </c>
      <c r="H2195" s="3" t="str">
        <f>CONCATENATE("64240666491")</f>
        <v>64240666491</v>
      </c>
      <c r="I2195" s="3" t="s">
        <v>25</v>
      </c>
      <c r="J2195" s="3" t="s">
        <v>26</v>
      </c>
      <c r="K2195" s="3" t="str">
        <f t="shared" si="68"/>
        <v/>
      </c>
      <c r="L2195" s="3" t="str">
        <f>CONCATENATE("11 11.2 4b")</f>
        <v>11 11.2 4b</v>
      </c>
      <c r="M2195" s="3" t="str">
        <f>CONCATENATE("01987450440")</f>
        <v>01987450440</v>
      </c>
      <c r="N2195" s="3" t="s">
        <v>2168</v>
      </c>
      <c r="O2195" s="3"/>
      <c r="P2195" s="4">
        <v>42783</v>
      </c>
      <c r="Q2195" s="3" t="s">
        <v>27</v>
      </c>
      <c r="R2195" s="3" t="s">
        <v>28</v>
      </c>
      <c r="S2195" s="3" t="s">
        <v>29</v>
      </c>
      <c r="T2195" s="5">
        <v>1135.81</v>
      </c>
      <c r="U2195" s="3">
        <v>489.76</v>
      </c>
      <c r="V2195" s="3">
        <v>452.28</v>
      </c>
      <c r="W2195" s="3">
        <v>193.77</v>
      </c>
    </row>
    <row r="2196" spans="1:23" ht="60.75">
      <c r="A2196" s="3" t="s">
        <v>23</v>
      </c>
      <c r="B2196" s="3" t="s">
        <v>24</v>
      </c>
      <c r="C2196" s="3" t="s">
        <v>35</v>
      </c>
      <c r="D2196" s="3" t="s">
        <v>36</v>
      </c>
      <c r="E2196" s="3" t="s">
        <v>32</v>
      </c>
      <c r="F2196" s="3" t="s">
        <v>179</v>
      </c>
      <c r="G2196" s="3">
        <v>2016</v>
      </c>
      <c r="H2196" s="3" t="str">
        <f>CONCATENATE("64240602066")</f>
        <v>64240602066</v>
      </c>
      <c r="I2196" s="3" t="s">
        <v>25</v>
      </c>
      <c r="J2196" s="3" t="s">
        <v>26</v>
      </c>
      <c r="K2196" s="3" t="str">
        <f t="shared" si="68"/>
        <v/>
      </c>
      <c r="L2196" s="3" t="str">
        <f>CONCATENATE("10 10.1 4b")</f>
        <v>10 10.1 4b</v>
      </c>
      <c r="M2196" s="3" t="str">
        <f>CONCATENATE("STRMRA57T12H321L")</f>
        <v>STRMRA57T12H321L</v>
      </c>
      <c r="N2196" s="3" t="s">
        <v>2169</v>
      </c>
      <c r="O2196" s="3"/>
      <c r="P2196" s="4">
        <v>42783</v>
      </c>
      <c r="Q2196" s="3" t="s">
        <v>27</v>
      </c>
      <c r="R2196" s="3" t="s">
        <v>28</v>
      </c>
      <c r="S2196" s="3" t="s">
        <v>29</v>
      </c>
      <c r="T2196" s="5">
        <v>2519.63</v>
      </c>
      <c r="U2196" s="5">
        <v>1086.46</v>
      </c>
      <c r="V2196" s="5">
        <v>1003.32</v>
      </c>
      <c r="W2196" s="3">
        <v>429.85</v>
      </c>
    </row>
    <row r="2197" spans="1:23" ht="60.75">
      <c r="A2197" s="3" t="s">
        <v>23</v>
      </c>
      <c r="B2197" s="3" t="s">
        <v>24</v>
      </c>
      <c r="C2197" s="3" t="s">
        <v>35</v>
      </c>
      <c r="D2197" s="3" t="s">
        <v>48</v>
      </c>
      <c r="E2197" s="3" t="s">
        <v>30</v>
      </c>
      <c r="F2197" s="3" t="s">
        <v>91</v>
      </c>
      <c r="G2197" s="3">
        <v>2016</v>
      </c>
      <c r="H2197" s="3" t="str">
        <f>CONCATENATE("64210507048")</f>
        <v>64210507048</v>
      </c>
      <c r="I2197" s="3" t="s">
        <v>25</v>
      </c>
      <c r="J2197" s="3" t="s">
        <v>26</v>
      </c>
      <c r="K2197" s="3" t="str">
        <f t="shared" si="68"/>
        <v/>
      </c>
      <c r="L2197" s="3" t="str">
        <f>CONCATENATE("13 13.1 4a")</f>
        <v>13 13.1 4a</v>
      </c>
      <c r="M2197" s="3" t="str">
        <f>CONCATENATE("BRZMRS55C52D451Y")</f>
        <v>BRZMRS55C52D451Y</v>
      </c>
      <c r="N2197" s="3" t="s">
        <v>2170</v>
      </c>
      <c r="O2197" s="3"/>
      <c r="P2197" s="4">
        <v>42783</v>
      </c>
      <c r="Q2197" s="3" t="s">
        <v>27</v>
      </c>
      <c r="R2197" s="3" t="s">
        <v>28</v>
      </c>
      <c r="S2197" s="3" t="s">
        <v>29</v>
      </c>
      <c r="T2197" s="3">
        <v>651.80999999999995</v>
      </c>
      <c r="U2197" s="3">
        <v>281.06</v>
      </c>
      <c r="V2197" s="3">
        <v>259.55</v>
      </c>
      <c r="W2197" s="3">
        <v>111.2</v>
      </c>
    </row>
    <row r="2198" spans="1:23" ht="60.75">
      <c r="A2198" s="3" t="s">
        <v>23</v>
      </c>
      <c r="B2198" s="3" t="s">
        <v>24</v>
      </c>
      <c r="C2198" s="3" t="s">
        <v>35</v>
      </c>
      <c r="D2198" s="3" t="s">
        <v>39</v>
      </c>
      <c r="E2198" s="3" t="s">
        <v>30</v>
      </c>
      <c r="F2198" s="3" t="s">
        <v>533</v>
      </c>
      <c r="G2198" s="3">
        <v>2016</v>
      </c>
      <c r="H2198" s="3" t="str">
        <f>CONCATENATE("64210899114")</f>
        <v>64210899114</v>
      </c>
      <c r="I2198" s="3" t="s">
        <v>25</v>
      </c>
      <c r="J2198" s="3" t="s">
        <v>26</v>
      </c>
      <c r="K2198" s="3" t="str">
        <f t="shared" si="68"/>
        <v/>
      </c>
      <c r="L2198" s="3" t="str">
        <f>CONCATENATE("13 13.1 4a")</f>
        <v>13 13.1 4a</v>
      </c>
      <c r="M2198" s="3" t="str">
        <f>CONCATENATE("BRGLFA62C10D965T")</f>
        <v>BRGLFA62C10D965T</v>
      </c>
      <c r="N2198" s="3" t="s">
        <v>2171</v>
      </c>
      <c r="O2198" s="3"/>
      <c r="P2198" s="4">
        <v>42783</v>
      </c>
      <c r="Q2198" s="3" t="s">
        <v>27</v>
      </c>
      <c r="R2198" s="3" t="s">
        <v>28</v>
      </c>
      <c r="S2198" s="3" t="s">
        <v>29</v>
      </c>
      <c r="T2198" s="5">
        <v>1805.1</v>
      </c>
      <c r="U2198" s="3">
        <v>778.36</v>
      </c>
      <c r="V2198" s="3">
        <v>718.79</v>
      </c>
      <c r="W2198" s="3">
        <v>307.95</v>
      </c>
    </row>
    <row r="2199" spans="1:23" ht="60.75">
      <c r="A2199" s="3" t="s">
        <v>23</v>
      </c>
      <c r="B2199" s="3" t="s">
        <v>24</v>
      </c>
      <c r="C2199" s="3" t="s">
        <v>35</v>
      </c>
      <c r="D2199" s="3" t="s">
        <v>48</v>
      </c>
      <c r="E2199" s="3" t="s">
        <v>30</v>
      </c>
      <c r="F2199" s="3" t="s">
        <v>57</v>
      </c>
      <c r="G2199" s="3">
        <v>2016</v>
      </c>
      <c r="H2199" s="3" t="str">
        <f>CONCATENATE("64210749145")</f>
        <v>64210749145</v>
      </c>
      <c r="I2199" s="3" t="s">
        <v>25</v>
      </c>
      <c r="J2199" s="3" t="s">
        <v>26</v>
      </c>
      <c r="K2199" s="3" t="str">
        <f t="shared" si="68"/>
        <v/>
      </c>
      <c r="L2199" s="3" t="str">
        <f>CONCATENATE("13 13.1 4a")</f>
        <v>13 13.1 4a</v>
      </c>
      <c r="M2199" s="3" t="str">
        <f>CONCATENATE("DRSGBR60D25C321D")</f>
        <v>DRSGBR60D25C321D</v>
      </c>
      <c r="N2199" s="3" t="s">
        <v>825</v>
      </c>
      <c r="O2199" s="3"/>
      <c r="P2199" s="4">
        <v>42783</v>
      </c>
      <c r="Q2199" s="3" t="s">
        <v>27</v>
      </c>
      <c r="R2199" s="3" t="s">
        <v>28</v>
      </c>
      <c r="S2199" s="3" t="s">
        <v>29</v>
      </c>
      <c r="T2199" s="3">
        <v>545.54</v>
      </c>
      <c r="U2199" s="3">
        <v>235.24</v>
      </c>
      <c r="V2199" s="3">
        <v>217.23</v>
      </c>
      <c r="W2199" s="3">
        <v>93.07</v>
      </c>
    </row>
    <row r="2200" spans="1:23" ht="60.75">
      <c r="A2200" s="3" t="s">
        <v>23</v>
      </c>
      <c r="B2200" s="3" t="s">
        <v>24</v>
      </c>
      <c r="C2200" s="3" t="s">
        <v>35</v>
      </c>
      <c r="D2200" s="3" t="s">
        <v>43</v>
      </c>
      <c r="E2200" s="3" t="s">
        <v>30</v>
      </c>
      <c r="F2200" s="3" t="s">
        <v>104</v>
      </c>
      <c r="G2200" s="3">
        <v>2016</v>
      </c>
      <c r="H2200" s="3" t="str">
        <f>CONCATENATE("64240217105")</f>
        <v>64240217105</v>
      </c>
      <c r="I2200" s="3" t="s">
        <v>25</v>
      </c>
      <c r="J2200" s="3" t="s">
        <v>26</v>
      </c>
      <c r="K2200" s="3" t="str">
        <f t="shared" si="68"/>
        <v/>
      </c>
      <c r="L2200" s="3" t="str">
        <f>CONCATENATE("11 11.2 4b")</f>
        <v>11 11.2 4b</v>
      </c>
      <c r="M2200" s="3" t="str">
        <f>CONCATENATE("BRTVLR62T50L500F")</f>
        <v>BRTVLR62T50L500F</v>
      </c>
      <c r="N2200" s="3" t="s">
        <v>2172</v>
      </c>
      <c r="O2200" s="3"/>
      <c r="P2200" s="4">
        <v>42783</v>
      </c>
      <c r="Q2200" s="3" t="s">
        <v>27</v>
      </c>
      <c r="R2200" s="3" t="s">
        <v>28</v>
      </c>
      <c r="S2200" s="3" t="s">
        <v>29</v>
      </c>
      <c r="T2200" s="5">
        <v>1650.21</v>
      </c>
      <c r="U2200" s="3">
        <v>711.57</v>
      </c>
      <c r="V2200" s="3">
        <v>657.11</v>
      </c>
      <c r="W2200" s="3">
        <v>281.52999999999997</v>
      </c>
    </row>
    <row r="2201" spans="1:23" ht="36.75">
      <c r="A2201" s="3" t="s">
        <v>23</v>
      </c>
      <c r="B2201" s="3" t="s">
        <v>24</v>
      </c>
      <c r="C2201" s="3" t="s">
        <v>35</v>
      </c>
      <c r="D2201" s="3" t="s">
        <v>39</v>
      </c>
      <c r="E2201" s="3" t="s">
        <v>32</v>
      </c>
      <c r="F2201" s="3" t="s">
        <v>69</v>
      </c>
      <c r="G2201" s="3">
        <v>2016</v>
      </c>
      <c r="H2201" s="3" t="str">
        <f>CONCATENATE("64240646469")</f>
        <v>64240646469</v>
      </c>
      <c r="I2201" s="3" t="s">
        <v>25</v>
      </c>
      <c r="J2201" s="3" t="s">
        <v>26</v>
      </c>
      <c r="K2201" s="3" t="str">
        <f t="shared" si="68"/>
        <v/>
      </c>
      <c r="L2201" s="3" t="str">
        <f>CONCATENATE("10 10.1 4a")</f>
        <v>10 10.1 4a</v>
      </c>
      <c r="M2201" s="3" t="str">
        <f>CONCATENATE("00973030422")</f>
        <v>00973030422</v>
      </c>
      <c r="N2201" s="3" t="s">
        <v>137</v>
      </c>
      <c r="O2201" s="3"/>
      <c r="P2201" s="4">
        <v>42783</v>
      </c>
      <c r="Q2201" s="3" t="s">
        <v>27</v>
      </c>
      <c r="R2201" s="3" t="s">
        <v>28</v>
      </c>
      <c r="S2201" s="3" t="s">
        <v>29</v>
      </c>
      <c r="T2201" s="5">
        <v>4898.3900000000003</v>
      </c>
      <c r="U2201" s="5">
        <v>2112.19</v>
      </c>
      <c r="V2201" s="5">
        <v>1950.54</v>
      </c>
      <c r="W2201" s="3">
        <v>835.66</v>
      </c>
    </row>
    <row r="2202" spans="1:23" ht="60.75">
      <c r="A2202" s="3" t="s">
        <v>23</v>
      </c>
      <c r="B2202" s="3" t="s">
        <v>24</v>
      </c>
      <c r="C2202" s="3" t="s">
        <v>35</v>
      </c>
      <c r="D2202" s="3" t="s">
        <v>36</v>
      </c>
      <c r="E2202" s="3" t="s">
        <v>30</v>
      </c>
      <c r="F2202" s="3" t="s">
        <v>257</v>
      </c>
      <c r="G2202" s="3">
        <v>2016</v>
      </c>
      <c r="H2202" s="3" t="str">
        <f>CONCATENATE("64240787248")</f>
        <v>64240787248</v>
      </c>
      <c r="I2202" s="3" t="s">
        <v>25</v>
      </c>
      <c r="J2202" s="3" t="s">
        <v>26</v>
      </c>
      <c r="K2202" s="3" t="str">
        <f t="shared" si="68"/>
        <v/>
      </c>
      <c r="L2202" s="3" t="str">
        <f>CONCATENATE("10 10.1 4a")</f>
        <v>10 10.1 4a</v>
      </c>
      <c r="M2202" s="3" t="str">
        <f>CONCATENATE("PLLGPP53R02F536D")</f>
        <v>PLLGPP53R02F536D</v>
      </c>
      <c r="N2202" s="3" t="s">
        <v>1568</v>
      </c>
      <c r="O2202" s="3"/>
      <c r="P2202" s="4">
        <v>42783</v>
      </c>
      <c r="Q2202" s="3" t="s">
        <v>27</v>
      </c>
      <c r="R2202" s="3" t="s">
        <v>28</v>
      </c>
      <c r="S2202" s="3" t="s">
        <v>29</v>
      </c>
      <c r="T2202" s="5">
        <v>1956.7</v>
      </c>
      <c r="U2202" s="3">
        <v>843.73</v>
      </c>
      <c r="V2202" s="3">
        <v>779.16</v>
      </c>
      <c r="W2202" s="3">
        <v>333.81</v>
      </c>
    </row>
    <row r="2203" spans="1:23" ht="60.75">
      <c r="A2203" s="3" t="s">
        <v>23</v>
      </c>
      <c r="B2203" s="3" t="s">
        <v>24</v>
      </c>
      <c r="C2203" s="3" t="s">
        <v>35</v>
      </c>
      <c r="D2203" s="3" t="s">
        <v>39</v>
      </c>
      <c r="E2203" s="3" t="s">
        <v>32</v>
      </c>
      <c r="F2203" s="3" t="s">
        <v>215</v>
      </c>
      <c r="G2203" s="3">
        <v>2016</v>
      </c>
      <c r="H2203" s="3" t="str">
        <f>CONCATENATE("64240277364")</f>
        <v>64240277364</v>
      </c>
      <c r="I2203" s="3" t="s">
        <v>25</v>
      </c>
      <c r="J2203" s="3" t="s">
        <v>26</v>
      </c>
      <c r="K2203" s="3" t="str">
        <f t="shared" si="68"/>
        <v/>
      </c>
      <c r="L2203" s="3" t="str">
        <f>CONCATENATE("11 11.1 4b")</f>
        <v>11 11.1 4b</v>
      </c>
      <c r="M2203" s="3" t="str">
        <f>CONCATENATE("NVLMRC95D06E388X")</f>
        <v>NVLMRC95D06E388X</v>
      </c>
      <c r="N2203" s="3" t="s">
        <v>2173</v>
      </c>
      <c r="O2203" s="3"/>
      <c r="P2203" s="4">
        <v>42783</v>
      </c>
      <c r="Q2203" s="3" t="s">
        <v>27</v>
      </c>
      <c r="R2203" s="3" t="s">
        <v>28</v>
      </c>
      <c r="S2203" s="3" t="s">
        <v>29</v>
      </c>
      <c r="T2203" s="3">
        <v>539.80999999999995</v>
      </c>
      <c r="U2203" s="3">
        <v>232.77</v>
      </c>
      <c r="V2203" s="3">
        <v>214.95</v>
      </c>
      <c r="W2203" s="3">
        <v>92.09</v>
      </c>
    </row>
    <row r="2204" spans="1:23" ht="36.75">
      <c r="A2204" s="3" t="s">
        <v>23</v>
      </c>
      <c r="B2204" s="3" t="s">
        <v>24</v>
      </c>
      <c r="C2204" s="3" t="s">
        <v>35</v>
      </c>
      <c r="D2204" s="3" t="s">
        <v>48</v>
      </c>
      <c r="E2204" s="3" t="s">
        <v>30</v>
      </c>
      <c r="F2204" s="3" t="s">
        <v>91</v>
      </c>
      <c r="G2204" s="3">
        <v>2016</v>
      </c>
      <c r="H2204" s="3" t="str">
        <f>CONCATENATE("64240318903")</f>
        <v>64240318903</v>
      </c>
      <c r="I2204" s="3" t="s">
        <v>25</v>
      </c>
      <c r="J2204" s="3" t="s">
        <v>26</v>
      </c>
      <c r="K2204" s="3" t="str">
        <f t="shared" si="68"/>
        <v/>
      </c>
      <c r="L2204" s="3" t="str">
        <f>CONCATENATE("11 11.2 4b")</f>
        <v>11 11.2 4b</v>
      </c>
      <c r="M2204" s="3" t="str">
        <f>CONCATENATE("00894170158")</f>
        <v>00894170158</v>
      </c>
      <c r="N2204" s="3" t="s">
        <v>2174</v>
      </c>
      <c r="O2204" s="3"/>
      <c r="P2204" s="4">
        <v>42783</v>
      </c>
      <c r="Q2204" s="3" t="s">
        <v>27</v>
      </c>
      <c r="R2204" s="3" t="s">
        <v>28</v>
      </c>
      <c r="S2204" s="3" t="s">
        <v>29</v>
      </c>
      <c r="T2204" s="5">
        <v>13236.96</v>
      </c>
      <c r="U2204" s="5">
        <v>5707.78</v>
      </c>
      <c r="V2204" s="5">
        <v>5270.96</v>
      </c>
      <c r="W2204" s="5">
        <v>2258.2199999999998</v>
      </c>
    </row>
    <row r="2205" spans="1:23" ht="60.75">
      <c r="A2205" s="3" t="s">
        <v>23</v>
      </c>
      <c r="B2205" s="3" t="s">
        <v>24</v>
      </c>
      <c r="C2205" s="3" t="s">
        <v>35</v>
      </c>
      <c r="D2205" s="3" t="s">
        <v>43</v>
      </c>
      <c r="E2205" s="3" t="s">
        <v>30</v>
      </c>
      <c r="F2205" s="3" t="s">
        <v>131</v>
      </c>
      <c r="G2205" s="3">
        <v>2016</v>
      </c>
      <c r="H2205" s="3" t="str">
        <f>CONCATENATE("64240797767")</f>
        <v>64240797767</v>
      </c>
      <c r="I2205" s="3" t="s">
        <v>25</v>
      </c>
      <c r="J2205" s="3" t="s">
        <v>26</v>
      </c>
      <c r="K2205" s="3" t="str">
        <f t="shared" si="68"/>
        <v/>
      </c>
      <c r="L2205" s="3" t="str">
        <f>CONCATENATE("11 11.2 4b")</f>
        <v>11 11.2 4b</v>
      </c>
      <c r="M2205" s="3" t="str">
        <f>CONCATENATE("NTMMHL55E17Z102Q")</f>
        <v>NTMMHL55E17Z102Q</v>
      </c>
      <c r="N2205" s="3" t="s">
        <v>2175</v>
      </c>
      <c r="O2205" s="3"/>
      <c r="P2205" s="4">
        <v>42783</v>
      </c>
      <c r="Q2205" s="3" t="s">
        <v>27</v>
      </c>
      <c r="R2205" s="3" t="s">
        <v>28</v>
      </c>
      <c r="S2205" s="3" t="s">
        <v>29</v>
      </c>
      <c r="T2205" s="5">
        <v>1475.04</v>
      </c>
      <c r="U2205" s="3">
        <v>636.04</v>
      </c>
      <c r="V2205" s="3">
        <v>587.36</v>
      </c>
      <c r="W2205" s="3">
        <v>251.64</v>
      </c>
    </row>
    <row r="2206" spans="1:23" ht="60.75">
      <c r="A2206" s="3" t="s">
        <v>23</v>
      </c>
      <c r="B2206" s="3" t="s">
        <v>24</v>
      </c>
      <c r="C2206" s="3" t="s">
        <v>35</v>
      </c>
      <c r="D2206" s="3" t="s">
        <v>43</v>
      </c>
      <c r="E2206" s="3" t="s">
        <v>32</v>
      </c>
      <c r="F2206" s="3" t="s">
        <v>148</v>
      </c>
      <c r="G2206" s="3">
        <v>2016</v>
      </c>
      <c r="H2206" s="3" t="str">
        <f>CONCATENATE("64240462412")</f>
        <v>64240462412</v>
      </c>
      <c r="I2206" s="3" t="s">
        <v>25</v>
      </c>
      <c r="J2206" s="3" t="s">
        <v>26</v>
      </c>
      <c r="K2206" s="3" t="str">
        <f t="shared" si="68"/>
        <v/>
      </c>
      <c r="L2206" s="3" t="str">
        <f>CONCATENATE("11 11.2 4b")</f>
        <v>11 11.2 4b</v>
      </c>
      <c r="M2206" s="3" t="str">
        <f>CONCATENATE("TDDLSN70L22G479B")</f>
        <v>TDDLSN70L22G479B</v>
      </c>
      <c r="N2206" s="3" t="s">
        <v>2176</v>
      </c>
      <c r="O2206" s="3"/>
      <c r="P2206" s="4">
        <v>42783</v>
      </c>
      <c r="Q2206" s="3" t="s">
        <v>27</v>
      </c>
      <c r="R2206" s="3" t="s">
        <v>28</v>
      </c>
      <c r="S2206" s="3" t="s">
        <v>29</v>
      </c>
      <c r="T2206" s="5">
        <v>2328.4899999999998</v>
      </c>
      <c r="U2206" s="5">
        <v>1004.04</v>
      </c>
      <c r="V2206" s="3">
        <v>927.2</v>
      </c>
      <c r="W2206" s="3">
        <v>397.25</v>
      </c>
    </row>
    <row r="2207" spans="1:23" ht="36.75">
      <c r="A2207" s="3" t="s">
        <v>23</v>
      </c>
      <c r="B2207" s="3" t="s">
        <v>24</v>
      </c>
      <c r="C2207" s="3" t="s">
        <v>35</v>
      </c>
      <c r="D2207" s="3" t="s">
        <v>48</v>
      </c>
      <c r="E2207" s="3" t="s">
        <v>34</v>
      </c>
      <c r="F2207" s="3" t="s">
        <v>141</v>
      </c>
      <c r="G2207" s="3">
        <v>2016</v>
      </c>
      <c r="H2207" s="3" t="str">
        <f>CONCATENATE("64240889176")</f>
        <v>64240889176</v>
      </c>
      <c r="I2207" s="3" t="s">
        <v>31</v>
      </c>
      <c r="J2207" s="3" t="s">
        <v>26</v>
      </c>
      <c r="K2207" s="3" t="str">
        <f t="shared" si="68"/>
        <v/>
      </c>
      <c r="L2207" s="3" t="str">
        <f>CONCATENATE("11 11.1 4b")</f>
        <v>11 11.1 4b</v>
      </c>
      <c r="M2207" s="3" t="str">
        <f>CONCATENATE("01816630436")</f>
        <v>01816630436</v>
      </c>
      <c r="N2207" s="3" t="s">
        <v>2177</v>
      </c>
      <c r="O2207" s="3"/>
      <c r="P2207" s="4">
        <v>42783</v>
      </c>
      <c r="Q2207" s="3" t="s">
        <v>27</v>
      </c>
      <c r="R2207" s="3" t="s">
        <v>28</v>
      </c>
      <c r="S2207" s="3" t="s">
        <v>29</v>
      </c>
      <c r="T2207" s="5">
        <v>6474.66</v>
      </c>
      <c r="U2207" s="5">
        <v>2791.87</v>
      </c>
      <c r="V2207" s="5">
        <v>2578.21</v>
      </c>
      <c r="W2207" s="5">
        <v>1104.58</v>
      </c>
    </row>
    <row r="2208" spans="1:23" ht="60.75">
      <c r="A2208" s="3" t="s">
        <v>23</v>
      </c>
      <c r="B2208" s="3" t="s">
        <v>24</v>
      </c>
      <c r="C2208" s="3" t="s">
        <v>35</v>
      </c>
      <c r="D2208" s="3" t="s">
        <v>43</v>
      </c>
      <c r="E2208" s="3" t="s">
        <v>30</v>
      </c>
      <c r="F2208" s="3" t="s">
        <v>113</v>
      </c>
      <c r="G2208" s="3">
        <v>2016</v>
      </c>
      <c r="H2208" s="3" t="str">
        <f>CONCATENATE("64211061805")</f>
        <v>64211061805</v>
      </c>
      <c r="I2208" s="3" t="s">
        <v>25</v>
      </c>
      <c r="J2208" s="3" t="s">
        <v>26</v>
      </c>
      <c r="K2208" s="3" t="str">
        <f t="shared" si="68"/>
        <v/>
      </c>
      <c r="L2208" s="3" t="str">
        <f>CONCATENATE("13 13.1 4a")</f>
        <v>13 13.1 4a</v>
      </c>
      <c r="M2208" s="3" t="str">
        <f>CONCATENATE("BTTBRN43E24B636R")</f>
        <v>BTTBRN43E24B636R</v>
      </c>
      <c r="N2208" s="3" t="s">
        <v>2178</v>
      </c>
      <c r="O2208" s="3"/>
      <c r="P2208" s="4">
        <v>42783</v>
      </c>
      <c r="Q2208" s="3" t="s">
        <v>27</v>
      </c>
      <c r="R2208" s="3" t="s">
        <v>28</v>
      </c>
      <c r="S2208" s="3" t="s">
        <v>29</v>
      </c>
      <c r="T2208" s="3">
        <v>533.34</v>
      </c>
      <c r="U2208" s="3">
        <v>229.98</v>
      </c>
      <c r="V2208" s="3">
        <v>212.38</v>
      </c>
      <c r="W2208" s="3">
        <v>90.98</v>
      </c>
    </row>
    <row r="2209" spans="1:23" ht="60.75">
      <c r="A2209" s="3" t="s">
        <v>23</v>
      </c>
      <c r="B2209" s="3" t="s">
        <v>24</v>
      </c>
      <c r="C2209" s="3" t="s">
        <v>35</v>
      </c>
      <c r="D2209" s="3" t="s">
        <v>43</v>
      </c>
      <c r="E2209" s="3" t="s">
        <v>30</v>
      </c>
      <c r="F2209" s="3" t="s">
        <v>76</v>
      </c>
      <c r="G2209" s="3">
        <v>2016</v>
      </c>
      <c r="H2209" s="3" t="str">
        <f>CONCATENATE("64210758161")</f>
        <v>64210758161</v>
      </c>
      <c r="I2209" s="3" t="s">
        <v>25</v>
      </c>
      <c r="J2209" s="3" t="s">
        <v>26</v>
      </c>
      <c r="K2209" s="3" t="str">
        <f t="shared" si="68"/>
        <v/>
      </c>
      <c r="L2209" s="3" t="str">
        <f>CONCATENATE("13 13.1 4a")</f>
        <v>13 13.1 4a</v>
      </c>
      <c r="M2209" s="3" t="str">
        <f>CONCATENATE("BNCSST44R27F478R")</f>
        <v>BNCSST44R27F478R</v>
      </c>
      <c r="N2209" s="3" t="s">
        <v>2179</v>
      </c>
      <c r="O2209" s="3"/>
      <c r="P2209" s="4">
        <v>42783</v>
      </c>
      <c r="Q2209" s="3" t="s">
        <v>27</v>
      </c>
      <c r="R2209" s="3" t="s">
        <v>28</v>
      </c>
      <c r="S2209" s="3" t="s">
        <v>29</v>
      </c>
      <c r="T2209" s="3">
        <v>543.75</v>
      </c>
      <c r="U2209" s="3">
        <v>234.47</v>
      </c>
      <c r="V2209" s="3">
        <v>216.52</v>
      </c>
      <c r="W2209" s="3">
        <v>92.76</v>
      </c>
    </row>
    <row r="2210" spans="1:23" ht="36.75">
      <c r="A2210" s="3" t="s">
        <v>23</v>
      </c>
      <c r="B2210" s="3" t="s">
        <v>24</v>
      </c>
      <c r="C2210" s="3" t="s">
        <v>35</v>
      </c>
      <c r="D2210" s="3" t="s">
        <v>48</v>
      </c>
      <c r="E2210" s="3" t="s">
        <v>30</v>
      </c>
      <c r="F2210" s="3" t="s">
        <v>91</v>
      </c>
      <c r="G2210" s="3">
        <v>2016</v>
      </c>
      <c r="H2210" s="3" t="str">
        <f>CONCATENATE("64210514184")</f>
        <v>64210514184</v>
      </c>
      <c r="I2210" s="3" t="s">
        <v>25</v>
      </c>
      <c r="J2210" s="3" t="s">
        <v>26</v>
      </c>
      <c r="K2210" s="3" t="str">
        <f t="shared" si="68"/>
        <v/>
      </c>
      <c r="L2210" s="3" t="str">
        <f>CONCATENATE("13 13.1 4a")</f>
        <v>13 13.1 4a</v>
      </c>
      <c r="M2210" s="3" t="str">
        <f>CONCATENATE("01345980435")</f>
        <v>01345980435</v>
      </c>
      <c r="N2210" s="3" t="s">
        <v>2180</v>
      </c>
      <c r="O2210" s="3"/>
      <c r="P2210" s="4">
        <v>42783</v>
      </c>
      <c r="Q2210" s="3" t="s">
        <v>27</v>
      </c>
      <c r="R2210" s="3" t="s">
        <v>28</v>
      </c>
      <c r="S2210" s="3" t="s">
        <v>29</v>
      </c>
      <c r="T2210" s="5">
        <v>1252.8699999999999</v>
      </c>
      <c r="U2210" s="3">
        <v>540.24</v>
      </c>
      <c r="V2210" s="3">
        <v>498.89</v>
      </c>
      <c r="W2210" s="3">
        <v>213.74</v>
      </c>
    </row>
    <row r="2211" spans="1:23" ht="60.75">
      <c r="A2211" s="3" t="s">
        <v>23</v>
      </c>
      <c r="B2211" s="3" t="s">
        <v>24</v>
      </c>
      <c r="C2211" s="3" t="s">
        <v>35</v>
      </c>
      <c r="D2211" s="3" t="s">
        <v>36</v>
      </c>
      <c r="E2211" s="3" t="s">
        <v>42</v>
      </c>
      <c r="F2211" s="3" t="s">
        <v>42</v>
      </c>
      <c r="G2211" s="3">
        <v>2016</v>
      </c>
      <c r="H2211" s="3" t="str">
        <f>CONCATENATE("64240098661")</f>
        <v>64240098661</v>
      </c>
      <c r="I2211" s="3" t="s">
        <v>25</v>
      </c>
      <c r="J2211" s="3" t="s">
        <v>26</v>
      </c>
      <c r="K2211" s="3" t="str">
        <f t="shared" si="68"/>
        <v/>
      </c>
      <c r="L2211" s="3" t="str">
        <f>CONCATENATE("11 11.2 4b")</f>
        <v>11 11.2 4b</v>
      </c>
      <c r="M2211" s="3" t="str">
        <f>CONCATENATE("SLVLEI54B23G005D")</f>
        <v>SLVLEI54B23G005D</v>
      </c>
      <c r="N2211" s="3" t="s">
        <v>2181</v>
      </c>
      <c r="O2211" s="3"/>
      <c r="P2211" s="4">
        <v>42783</v>
      </c>
      <c r="Q2211" s="3" t="s">
        <v>27</v>
      </c>
      <c r="R2211" s="3" t="s">
        <v>28</v>
      </c>
      <c r="S2211" s="3" t="s">
        <v>29</v>
      </c>
      <c r="T2211" s="3">
        <v>998.03</v>
      </c>
      <c r="U2211" s="3">
        <v>430.35</v>
      </c>
      <c r="V2211" s="3">
        <v>397.42</v>
      </c>
      <c r="W2211" s="3">
        <v>170.26</v>
      </c>
    </row>
    <row r="2212" spans="1:23" ht="60.75">
      <c r="A2212" s="3" t="s">
        <v>23</v>
      </c>
      <c r="B2212" s="3" t="s">
        <v>24</v>
      </c>
      <c r="C2212" s="3" t="s">
        <v>35</v>
      </c>
      <c r="D2212" s="3" t="s">
        <v>36</v>
      </c>
      <c r="E2212" s="3" t="s">
        <v>32</v>
      </c>
      <c r="F2212" s="3" t="s">
        <v>208</v>
      </c>
      <c r="G2212" s="3">
        <v>2016</v>
      </c>
      <c r="H2212" s="3" t="str">
        <f>CONCATENATE("64240337457")</f>
        <v>64240337457</v>
      </c>
      <c r="I2212" s="3" t="s">
        <v>25</v>
      </c>
      <c r="J2212" s="3" t="s">
        <v>26</v>
      </c>
      <c r="K2212" s="3" t="str">
        <f t="shared" si="68"/>
        <v/>
      </c>
      <c r="L2212" s="3" t="str">
        <f>CONCATENATE("11 11.1 4b")</f>
        <v>11 11.1 4b</v>
      </c>
      <c r="M2212" s="3" t="str">
        <f>CONCATENATE("CCCBRN55L46G005R")</f>
        <v>CCCBRN55L46G005R</v>
      </c>
      <c r="N2212" s="3" t="s">
        <v>2182</v>
      </c>
      <c r="O2212" s="3"/>
      <c r="P2212" s="4">
        <v>42783</v>
      </c>
      <c r="Q2212" s="3" t="s">
        <v>27</v>
      </c>
      <c r="R2212" s="3" t="s">
        <v>28</v>
      </c>
      <c r="S2212" s="3" t="s">
        <v>29</v>
      </c>
      <c r="T2212" s="5">
        <v>1575.07</v>
      </c>
      <c r="U2212" s="3">
        <v>679.17</v>
      </c>
      <c r="V2212" s="3">
        <v>627.19000000000005</v>
      </c>
      <c r="W2212" s="3">
        <v>268.70999999999998</v>
      </c>
    </row>
    <row r="2213" spans="1:23" ht="60.75">
      <c r="A2213" s="3" t="s">
        <v>23</v>
      </c>
      <c r="B2213" s="3" t="s">
        <v>24</v>
      </c>
      <c r="C2213" s="3" t="s">
        <v>35</v>
      </c>
      <c r="D2213" s="3" t="s">
        <v>39</v>
      </c>
      <c r="E2213" s="3" t="s">
        <v>32</v>
      </c>
      <c r="F2213" s="3" t="s">
        <v>215</v>
      </c>
      <c r="G2213" s="3">
        <v>2016</v>
      </c>
      <c r="H2213" s="3" t="str">
        <f>CONCATENATE("64240267043")</f>
        <v>64240267043</v>
      </c>
      <c r="I2213" s="3" t="s">
        <v>25</v>
      </c>
      <c r="J2213" s="3" t="s">
        <v>26</v>
      </c>
      <c r="K2213" s="3" t="str">
        <f t="shared" si="68"/>
        <v/>
      </c>
      <c r="L2213" s="3" t="str">
        <f>CONCATENATE("11 11.2 4b")</f>
        <v>11 11.2 4b</v>
      </c>
      <c r="M2213" s="3" t="str">
        <f>CONCATENATE("FRTLRT54E03C248P")</f>
        <v>FRTLRT54E03C248P</v>
      </c>
      <c r="N2213" s="3" t="s">
        <v>542</v>
      </c>
      <c r="O2213" s="3"/>
      <c r="P2213" s="4">
        <v>42783</v>
      </c>
      <c r="Q2213" s="3" t="s">
        <v>27</v>
      </c>
      <c r="R2213" s="3" t="s">
        <v>28</v>
      </c>
      <c r="S2213" s="3" t="s">
        <v>29</v>
      </c>
      <c r="T2213" s="3">
        <v>988.48</v>
      </c>
      <c r="U2213" s="3">
        <v>426.23</v>
      </c>
      <c r="V2213" s="3">
        <v>393.61</v>
      </c>
      <c r="W2213" s="3">
        <v>168.64</v>
      </c>
    </row>
    <row r="2214" spans="1:23" ht="60.75">
      <c r="A2214" s="3" t="s">
        <v>23</v>
      </c>
      <c r="B2214" s="3" t="s">
        <v>24</v>
      </c>
      <c r="C2214" s="3" t="s">
        <v>35</v>
      </c>
      <c r="D2214" s="3" t="s">
        <v>39</v>
      </c>
      <c r="E2214" s="3" t="s">
        <v>32</v>
      </c>
      <c r="F2214" s="3" t="s">
        <v>69</v>
      </c>
      <c r="G2214" s="3">
        <v>2016</v>
      </c>
      <c r="H2214" s="3" t="str">
        <f>CONCATENATE("64240510384")</f>
        <v>64240510384</v>
      </c>
      <c r="I2214" s="3" t="s">
        <v>25</v>
      </c>
      <c r="J2214" s="3" t="s">
        <v>26</v>
      </c>
      <c r="K2214" s="3" t="str">
        <f t="shared" si="68"/>
        <v/>
      </c>
      <c r="L2214" s="3" t="str">
        <f>CONCATENATE("11 11.2 4b")</f>
        <v>11 11.2 4b</v>
      </c>
      <c r="M2214" s="3" t="str">
        <f>CONCATENATE("BMPLRT68E06A366Y")</f>
        <v>BMPLRT68E06A366Y</v>
      </c>
      <c r="N2214" s="3" t="s">
        <v>2183</v>
      </c>
      <c r="O2214" s="3"/>
      <c r="P2214" s="4">
        <v>42783</v>
      </c>
      <c r="Q2214" s="3" t="s">
        <v>27</v>
      </c>
      <c r="R2214" s="3" t="s">
        <v>28</v>
      </c>
      <c r="S2214" s="3" t="s">
        <v>29</v>
      </c>
      <c r="T2214" s="5">
        <v>6532.71</v>
      </c>
      <c r="U2214" s="5">
        <v>2816.9</v>
      </c>
      <c r="V2214" s="5">
        <v>2601.33</v>
      </c>
      <c r="W2214" s="5">
        <v>1114.48</v>
      </c>
    </row>
    <row r="2215" spans="1:23" ht="60.75">
      <c r="A2215" s="3" t="s">
        <v>23</v>
      </c>
      <c r="B2215" s="3" t="s">
        <v>24</v>
      </c>
      <c r="C2215" s="3" t="s">
        <v>35</v>
      </c>
      <c r="D2215" s="3" t="s">
        <v>43</v>
      </c>
      <c r="E2215" s="3" t="s">
        <v>30</v>
      </c>
      <c r="F2215" s="3" t="s">
        <v>76</v>
      </c>
      <c r="G2215" s="3">
        <v>2016</v>
      </c>
      <c r="H2215" s="3" t="str">
        <f>CONCATENATE("64210133100")</f>
        <v>64210133100</v>
      </c>
      <c r="I2215" s="3" t="s">
        <v>31</v>
      </c>
      <c r="J2215" s="3" t="s">
        <v>26</v>
      </c>
      <c r="K2215" s="3" t="str">
        <f t="shared" si="68"/>
        <v/>
      </c>
      <c r="L2215" s="3" t="str">
        <f>CONCATENATE("13 13.1 4a")</f>
        <v>13 13.1 4a</v>
      </c>
      <c r="M2215" s="3" t="str">
        <f>CONCATENATE("CCCNGL76P12I459W")</f>
        <v>CCCNGL76P12I459W</v>
      </c>
      <c r="N2215" s="3" t="s">
        <v>2184</v>
      </c>
      <c r="O2215" s="3"/>
      <c r="P2215" s="4">
        <v>42783</v>
      </c>
      <c r="Q2215" s="3" t="s">
        <v>27</v>
      </c>
      <c r="R2215" s="3" t="s">
        <v>28</v>
      </c>
      <c r="S2215" s="3" t="s">
        <v>29</v>
      </c>
      <c r="T2215" s="5">
        <v>2280.2800000000002</v>
      </c>
      <c r="U2215" s="3">
        <v>983.26</v>
      </c>
      <c r="V2215" s="3">
        <v>908.01</v>
      </c>
      <c r="W2215" s="3">
        <v>389.01</v>
      </c>
    </row>
    <row r="2216" spans="1:23" ht="60.75">
      <c r="A2216" s="3" t="s">
        <v>23</v>
      </c>
      <c r="B2216" s="3" t="s">
        <v>24</v>
      </c>
      <c r="C2216" s="3" t="s">
        <v>35</v>
      </c>
      <c r="D2216" s="3" t="s">
        <v>39</v>
      </c>
      <c r="E2216" s="3" t="s">
        <v>32</v>
      </c>
      <c r="F2216" s="3" t="s">
        <v>117</v>
      </c>
      <c r="G2216" s="3">
        <v>2016</v>
      </c>
      <c r="H2216" s="3" t="str">
        <f>CONCATENATE("64240485322")</f>
        <v>64240485322</v>
      </c>
      <c r="I2216" s="3" t="s">
        <v>25</v>
      </c>
      <c r="J2216" s="3" t="s">
        <v>26</v>
      </c>
      <c r="K2216" s="3" t="str">
        <f t="shared" si="68"/>
        <v/>
      </c>
      <c r="L2216" s="3" t="str">
        <f>CONCATENATE("11 11.2 4b")</f>
        <v>11 11.2 4b</v>
      </c>
      <c r="M2216" s="3" t="str">
        <f>CONCATENATE("GRSFNZ84S03E388S")</f>
        <v>GRSFNZ84S03E388S</v>
      </c>
      <c r="N2216" s="3" t="s">
        <v>2185</v>
      </c>
      <c r="O2216" s="3"/>
      <c r="P2216" s="4">
        <v>42783</v>
      </c>
      <c r="Q2216" s="3" t="s">
        <v>27</v>
      </c>
      <c r="R2216" s="3" t="s">
        <v>28</v>
      </c>
      <c r="S2216" s="3" t="s">
        <v>29</v>
      </c>
      <c r="T2216" s="5">
        <v>9147.76</v>
      </c>
      <c r="U2216" s="5">
        <v>3944.51</v>
      </c>
      <c r="V2216" s="5">
        <v>3642.64</v>
      </c>
      <c r="W2216" s="5">
        <v>1560.61</v>
      </c>
    </row>
    <row r="2217" spans="1:23" ht="72.75">
      <c r="A2217" s="3" t="s">
        <v>23</v>
      </c>
      <c r="B2217" s="3" t="s">
        <v>24</v>
      </c>
      <c r="C2217" s="3" t="s">
        <v>35</v>
      </c>
      <c r="D2217" s="3" t="s">
        <v>48</v>
      </c>
      <c r="E2217" s="3" t="s">
        <v>33</v>
      </c>
      <c r="F2217" s="3" t="s">
        <v>160</v>
      </c>
      <c r="G2217" s="3">
        <v>2016</v>
      </c>
      <c r="H2217" s="3" t="str">
        <f>CONCATENATE("64240888434")</f>
        <v>64240888434</v>
      </c>
      <c r="I2217" s="3" t="s">
        <v>25</v>
      </c>
      <c r="J2217" s="3" t="s">
        <v>26</v>
      </c>
      <c r="K2217" s="3" t="str">
        <f t="shared" si="68"/>
        <v/>
      </c>
      <c r="L2217" s="3" t="str">
        <f>CONCATENATE("11 11.2 4b")</f>
        <v>11 11.2 4b</v>
      </c>
      <c r="M2217" s="3" t="str">
        <f>CONCATENATE("VRDMSM96A08E783X")</f>
        <v>VRDMSM96A08E783X</v>
      </c>
      <c r="N2217" s="3" t="s">
        <v>2186</v>
      </c>
      <c r="O2217" s="3"/>
      <c r="P2217" s="4">
        <v>42783</v>
      </c>
      <c r="Q2217" s="3" t="s">
        <v>27</v>
      </c>
      <c r="R2217" s="3" t="s">
        <v>28</v>
      </c>
      <c r="S2217" s="3" t="s">
        <v>29</v>
      </c>
      <c r="T2217" s="5">
        <v>5868.64</v>
      </c>
      <c r="U2217" s="5">
        <v>2530.56</v>
      </c>
      <c r="V2217" s="5">
        <v>2336.89</v>
      </c>
      <c r="W2217" s="5">
        <v>1001.19</v>
      </c>
    </row>
    <row r="2218" spans="1:23" ht="60.75">
      <c r="A2218" s="3" t="s">
        <v>23</v>
      </c>
      <c r="B2218" s="3" t="s">
        <v>24</v>
      </c>
      <c r="C2218" s="3" t="s">
        <v>35</v>
      </c>
      <c r="D2218" s="3" t="s">
        <v>39</v>
      </c>
      <c r="E2218" s="3" t="s">
        <v>30</v>
      </c>
      <c r="F2218" s="3" t="s">
        <v>84</v>
      </c>
      <c r="G2218" s="3">
        <v>2016</v>
      </c>
      <c r="H2218" s="3" t="str">
        <f>CONCATENATE("64210246555")</f>
        <v>64210246555</v>
      </c>
      <c r="I2218" s="3" t="s">
        <v>25</v>
      </c>
      <c r="J2218" s="3" t="s">
        <v>26</v>
      </c>
      <c r="K2218" s="3" t="str">
        <f t="shared" si="68"/>
        <v/>
      </c>
      <c r="L2218" s="3" t="str">
        <f>CONCATENATE("13 13.1 4a")</f>
        <v>13 13.1 4a</v>
      </c>
      <c r="M2218" s="3" t="str">
        <f>CONCATENATE("TRTGBT49R01C524S")</f>
        <v>TRTGBT49R01C524S</v>
      </c>
      <c r="N2218" s="3" t="s">
        <v>2187</v>
      </c>
      <c r="O2218" s="3"/>
      <c r="P2218" s="4">
        <v>42783</v>
      </c>
      <c r="Q2218" s="3" t="s">
        <v>27</v>
      </c>
      <c r="R2218" s="3" t="s">
        <v>28</v>
      </c>
      <c r="S2218" s="3" t="s">
        <v>29</v>
      </c>
      <c r="T2218" s="5">
        <v>1041.58</v>
      </c>
      <c r="U2218" s="3">
        <v>449.13</v>
      </c>
      <c r="V2218" s="3">
        <v>414.76</v>
      </c>
      <c r="W2218" s="3">
        <v>177.69</v>
      </c>
    </row>
    <row r="2219" spans="1:23" ht="60.75">
      <c r="A2219" s="3" t="s">
        <v>23</v>
      </c>
      <c r="B2219" s="3" t="s">
        <v>24</v>
      </c>
      <c r="C2219" s="3" t="s">
        <v>35</v>
      </c>
      <c r="D2219" s="3" t="s">
        <v>36</v>
      </c>
      <c r="E2219" s="3" t="s">
        <v>30</v>
      </c>
      <c r="F2219" s="3" t="s">
        <v>37</v>
      </c>
      <c r="G2219" s="3">
        <v>2016</v>
      </c>
      <c r="H2219" s="3" t="str">
        <f>CONCATENATE("64240607784")</f>
        <v>64240607784</v>
      </c>
      <c r="I2219" s="3" t="s">
        <v>25</v>
      </c>
      <c r="J2219" s="3" t="s">
        <v>26</v>
      </c>
      <c r="K2219" s="3" t="str">
        <f t="shared" si="68"/>
        <v/>
      </c>
      <c r="L2219" s="3" t="str">
        <f>CONCATENATE("10 10.1 4b")</f>
        <v>10 10.1 4b</v>
      </c>
      <c r="M2219" s="3" t="str">
        <f>CONCATENATE("VGNGZN40M20F415G")</f>
        <v>VGNGZN40M20F415G</v>
      </c>
      <c r="N2219" s="3" t="s">
        <v>2188</v>
      </c>
      <c r="O2219" s="3"/>
      <c r="P2219" s="4">
        <v>42783</v>
      </c>
      <c r="Q2219" s="3" t="s">
        <v>27</v>
      </c>
      <c r="R2219" s="3" t="s">
        <v>28</v>
      </c>
      <c r="S2219" s="3" t="s">
        <v>29</v>
      </c>
      <c r="T2219" s="5">
        <v>1399.61</v>
      </c>
      <c r="U2219" s="3">
        <v>603.51</v>
      </c>
      <c r="V2219" s="3">
        <v>557.32000000000005</v>
      </c>
      <c r="W2219" s="3">
        <v>238.78</v>
      </c>
    </row>
    <row r="2220" spans="1:23" ht="36.75">
      <c r="A2220" s="3" t="s">
        <v>23</v>
      </c>
      <c r="B2220" s="3" t="s">
        <v>24</v>
      </c>
      <c r="C2220" s="3" t="s">
        <v>35</v>
      </c>
      <c r="D2220" s="3" t="s">
        <v>48</v>
      </c>
      <c r="E2220" s="3" t="s">
        <v>30</v>
      </c>
      <c r="F2220" s="3" t="s">
        <v>91</v>
      </c>
      <c r="G2220" s="3">
        <v>2016</v>
      </c>
      <c r="H2220" s="3" t="str">
        <f>CONCATENATE("64240319661")</f>
        <v>64240319661</v>
      </c>
      <c r="I2220" s="3" t="s">
        <v>25</v>
      </c>
      <c r="J2220" s="3" t="s">
        <v>26</v>
      </c>
      <c r="K2220" s="3" t="str">
        <f t="shared" si="68"/>
        <v/>
      </c>
      <c r="L2220" s="3" t="str">
        <f>CONCATENATE("11 11.1 4b")</f>
        <v>11 11.1 4b</v>
      </c>
      <c r="M2220" s="3" t="str">
        <f>CONCATENATE("01909630434")</f>
        <v>01909630434</v>
      </c>
      <c r="N2220" s="3" t="s">
        <v>2189</v>
      </c>
      <c r="O2220" s="3"/>
      <c r="P2220" s="4">
        <v>42783</v>
      </c>
      <c r="Q2220" s="3" t="s">
        <v>27</v>
      </c>
      <c r="R2220" s="3" t="s">
        <v>28</v>
      </c>
      <c r="S2220" s="3" t="s">
        <v>29</v>
      </c>
      <c r="T2220" s="5">
        <v>1322.29</v>
      </c>
      <c r="U2220" s="3">
        <v>570.16999999999996</v>
      </c>
      <c r="V2220" s="3">
        <v>526.54</v>
      </c>
      <c r="W2220" s="3">
        <v>225.58</v>
      </c>
    </row>
    <row r="2221" spans="1:23" ht="60.75">
      <c r="A2221" s="3" t="s">
        <v>23</v>
      </c>
      <c r="B2221" s="3" t="s">
        <v>24</v>
      </c>
      <c r="C2221" s="3" t="s">
        <v>35</v>
      </c>
      <c r="D2221" s="3" t="s">
        <v>43</v>
      </c>
      <c r="E2221" s="3" t="s">
        <v>49</v>
      </c>
      <c r="F2221" s="3" t="s">
        <v>276</v>
      </c>
      <c r="G2221" s="3">
        <v>2016</v>
      </c>
      <c r="H2221" s="3" t="str">
        <f>CONCATENATE("64240351409")</f>
        <v>64240351409</v>
      </c>
      <c r="I2221" s="3" t="s">
        <v>25</v>
      </c>
      <c r="J2221" s="3" t="s">
        <v>26</v>
      </c>
      <c r="K2221" s="3" t="str">
        <f t="shared" si="68"/>
        <v/>
      </c>
      <c r="L2221" s="3" t="str">
        <f t="shared" ref="L2221:L2228" si="69">CONCATENATE("11 11.2 4b")</f>
        <v>11 11.2 4b</v>
      </c>
      <c r="M2221" s="3" t="str">
        <f>CONCATENATE("RSSLGU91E05G479P")</f>
        <v>RSSLGU91E05G479P</v>
      </c>
      <c r="N2221" s="3" t="s">
        <v>2190</v>
      </c>
      <c r="O2221" s="3"/>
      <c r="P2221" s="4">
        <v>42783</v>
      </c>
      <c r="Q2221" s="3" t="s">
        <v>27</v>
      </c>
      <c r="R2221" s="3" t="s">
        <v>28</v>
      </c>
      <c r="S2221" s="3" t="s">
        <v>29</v>
      </c>
      <c r="T2221" s="5">
        <v>6749.16</v>
      </c>
      <c r="U2221" s="5">
        <v>2910.24</v>
      </c>
      <c r="V2221" s="5">
        <v>2687.52</v>
      </c>
      <c r="W2221" s="5">
        <v>1151.4000000000001</v>
      </c>
    </row>
    <row r="2222" spans="1:23" ht="60.75">
      <c r="A2222" s="3" t="s">
        <v>23</v>
      </c>
      <c r="B2222" s="3" t="s">
        <v>24</v>
      </c>
      <c r="C2222" s="3" t="s">
        <v>35</v>
      </c>
      <c r="D2222" s="3" t="s">
        <v>36</v>
      </c>
      <c r="E2222" s="3" t="s">
        <v>33</v>
      </c>
      <c r="F2222" s="3" t="s">
        <v>192</v>
      </c>
      <c r="G2222" s="3">
        <v>2016</v>
      </c>
      <c r="H2222" s="3" t="str">
        <f>CONCATENATE("64240302071")</f>
        <v>64240302071</v>
      </c>
      <c r="I2222" s="3" t="s">
        <v>25</v>
      </c>
      <c r="J2222" s="3" t="s">
        <v>26</v>
      </c>
      <c r="K2222" s="3" t="str">
        <f t="shared" si="68"/>
        <v/>
      </c>
      <c r="L2222" s="3" t="str">
        <f t="shared" si="69"/>
        <v>11 11.2 4b</v>
      </c>
      <c r="M2222" s="3" t="str">
        <f>CONCATENATE("GBRGZN61S09G005F")</f>
        <v>GBRGZN61S09G005F</v>
      </c>
      <c r="N2222" s="3" t="s">
        <v>2191</v>
      </c>
      <c r="O2222" s="3"/>
      <c r="P2222" s="4">
        <v>42783</v>
      </c>
      <c r="Q2222" s="3" t="s">
        <v>27</v>
      </c>
      <c r="R2222" s="3" t="s">
        <v>28</v>
      </c>
      <c r="S2222" s="3" t="s">
        <v>29</v>
      </c>
      <c r="T2222" s="5">
        <v>3098.73</v>
      </c>
      <c r="U2222" s="5">
        <v>1336.17</v>
      </c>
      <c r="V2222" s="5">
        <v>1233.9100000000001</v>
      </c>
      <c r="W2222" s="3">
        <v>528.65</v>
      </c>
    </row>
    <row r="2223" spans="1:23" ht="60.75">
      <c r="A2223" s="3" t="s">
        <v>23</v>
      </c>
      <c r="B2223" s="3" t="s">
        <v>24</v>
      </c>
      <c r="C2223" s="3" t="s">
        <v>35</v>
      </c>
      <c r="D2223" s="3" t="s">
        <v>36</v>
      </c>
      <c r="E2223" s="3" t="s">
        <v>42</v>
      </c>
      <c r="F2223" s="3" t="s">
        <v>42</v>
      </c>
      <c r="G2223" s="3">
        <v>2016</v>
      </c>
      <c r="H2223" s="3" t="str">
        <f>CONCATENATE("64240046017")</f>
        <v>64240046017</v>
      </c>
      <c r="I2223" s="3" t="s">
        <v>25</v>
      </c>
      <c r="J2223" s="3" t="s">
        <v>26</v>
      </c>
      <c r="K2223" s="3" t="str">
        <f t="shared" si="68"/>
        <v/>
      </c>
      <c r="L2223" s="3" t="str">
        <f t="shared" si="69"/>
        <v>11 11.2 4b</v>
      </c>
      <c r="M2223" s="3" t="str">
        <f>CONCATENATE("VGNMRA46E23H321B")</f>
        <v>VGNMRA46E23H321B</v>
      </c>
      <c r="N2223" s="3" t="s">
        <v>2192</v>
      </c>
      <c r="O2223" s="3"/>
      <c r="P2223" s="4">
        <v>42783</v>
      </c>
      <c r="Q2223" s="3" t="s">
        <v>27</v>
      </c>
      <c r="R2223" s="3" t="s">
        <v>28</v>
      </c>
      <c r="S2223" s="3" t="s">
        <v>29</v>
      </c>
      <c r="T2223" s="5">
        <v>3446.95</v>
      </c>
      <c r="U2223" s="5">
        <v>1486.32</v>
      </c>
      <c r="V2223" s="5">
        <v>1372.58</v>
      </c>
      <c r="W2223" s="3">
        <v>588.04999999999995</v>
      </c>
    </row>
    <row r="2224" spans="1:23" ht="60.75">
      <c r="A2224" s="3" t="s">
        <v>23</v>
      </c>
      <c r="B2224" s="3" t="s">
        <v>24</v>
      </c>
      <c r="C2224" s="3" t="s">
        <v>35</v>
      </c>
      <c r="D2224" s="3" t="s">
        <v>43</v>
      </c>
      <c r="E2224" s="3" t="s">
        <v>49</v>
      </c>
      <c r="F2224" s="3" t="s">
        <v>139</v>
      </c>
      <c r="G2224" s="3">
        <v>2016</v>
      </c>
      <c r="H2224" s="3" t="str">
        <f>CONCATENATE("64240875498")</f>
        <v>64240875498</v>
      </c>
      <c r="I2224" s="3" t="s">
        <v>25</v>
      </c>
      <c r="J2224" s="3" t="s">
        <v>26</v>
      </c>
      <c r="K2224" s="3" t="str">
        <f t="shared" si="68"/>
        <v/>
      </c>
      <c r="L2224" s="3" t="str">
        <f t="shared" si="69"/>
        <v>11 11.2 4b</v>
      </c>
      <c r="M2224" s="3" t="str">
        <f>CONCATENATE("PRTFNC70M26L500I")</f>
        <v>PRTFNC70M26L500I</v>
      </c>
      <c r="N2224" s="3" t="s">
        <v>2193</v>
      </c>
      <c r="O2224" s="3"/>
      <c r="P2224" s="4">
        <v>42783</v>
      </c>
      <c r="Q2224" s="3" t="s">
        <v>27</v>
      </c>
      <c r="R2224" s="3" t="s">
        <v>28</v>
      </c>
      <c r="S2224" s="3" t="s">
        <v>29</v>
      </c>
      <c r="T2224" s="5">
        <v>10585.12</v>
      </c>
      <c r="U2224" s="5">
        <v>4564.3</v>
      </c>
      <c r="V2224" s="5">
        <v>4214.99</v>
      </c>
      <c r="W2224" s="5">
        <v>1805.83</v>
      </c>
    </row>
    <row r="2225" spans="1:23" ht="36.75">
      <c r="A2225" s="3" t="s">
        <v>23</v>
      </c>
      <c r="B2225" s="3" t="s">
        <v>24</v>
      </c>
      <c r="C2225" s="3" t="s">
        <v>35</v>
      </c>
      <c r="D2225" s="3" t="s">
        <v>36</v>
      </c>
      <c r="E2225" s="3" t="s">
        <v>30</v>
      </c>
      <c r="F2225" s="3" t="s">
        <v>53</v>
      </c>
      <c r="G2225" s="3">
        <v>2016</v>
      </c>
      <c r="H2225" s="3" t="str">
        <f>CONCATENATE("64240393740")</f>
        <v>64240393740</v>
      </c>
      <c r="I2225" s="3" t="s">
        <v>25</v>
      </c>
      <c r="J2225" s="3" t="s">
        <v>26</v>
      </c>
      <c r="K2225" s="3" t="str">
        <f t="shared" si="68"/>
        <v/>
      </c>
      <c r="L2225" s="3" t="str">
        <f t="shared" si="69"/>
        <v>11 11.2 4b</v>
      </c>
      <c r="M2225" s="3" t="str">
        <f>CONCATENATE("01494110446")</f>
        <v>01494110446</v>
      </c>
      <c r="N2225" s="3" t="s">
        <v>2194</v>
      </c>
      <c r="O2225" s="3"/>
      <c r="P2225" s="4">
        <v>42783</v>
      </c>
      <c r="Q2225" s="3" t="s">
        <v>27</v>
      </c>
      <c r="R2225" s="3" t="s">
        <v>28</v>
      </c>
      <c r="S2225" s="3" t="s">
        <v>29</v>
      </c>
      <c r="T2225" s="5">
        <v>3081.26</v>
      </c>
      <c r="U2225" s="5">
        <v>1328.64</v>
      </c>
      <c r="V2225" s="5">
        <v>1226.96</v>
      </c>
      <c r="W2225" s="3">
        <v>525.66</v>
      </c>
    </row>
    <row r="2226" spans="1:23" ht="36.75">
      <c r="A2226" s="3" t="s">
        <v>23</v>
      </c>
      <c r="B2226" s="3" t="s">
        <v>24</v>
      </c>
      <c r="C2226" s="3" t="s">
        <v>35</v>
      </c>
      <c r="D2226" s="3" t="s">
        <v>48</v>
      </c>
      <c r="E2226" s="3" t="s">
        <v>34</v>
      </c>
      <c r="F2226" s="3" t="s">
        <v>141</v>
      </c>
      <c r="G2226" s="3">
        <v>2016</v>
      </c>
      <c r="H2226" s="3" t="str">
        <f>CONCATENATE("64240565180")</f>
        <v>64240565180</v>
      </c>
      <c r="I2226" s="3" t="s">
        <v>25</v>
      </c>
      <c r="J2226" s="3" t="s">
        <v>26</v>
      </c>
      <c r="K2226" s="3" t="str">
        <f t="shared" si="68"/>
        <v/>
      </c>
      <c r="L2226" s="3" t="str">
        <f t="shared" si="69"/>
        <v>11 11.2 4b</v>
      </c>
      <c r="M2226" s="3" t="str">
        <f>CONCATENATE("01340930435")</f>
        <v>01340930435</v>
      </c>
      <c r="N2226" s="3" t="s">
        <v>2195</v>
      </c>
      <c r="O2226" s="3"/>
      <c r="P2226" s="4">
        <v>42783</v>
      </c>
      <c r="Q2226" s="3" t="s">
        <v>27</v>
      </c>
      <c r="R2226" s="3" t="s">
        <v>28</v>
      </c>
      <c r="S2226" s="3" t="s">
        <v>29</v>
      </c>
      <c r="T2226" s="5">
        <v>3442.79</v>
      </c>
      <c r="U2226" s="5">
        <v>1484.53</v>
      </c>
      <c r="V2226" s="5">
        <v>1370.92</v>
      </c>
      <c r="W2226" s="3">
        <v>587.34</v>
      </c>
    </row>
    <row r="2227" spans="1:23" ht="60.75">
      <c r="A2227" s="3" t="s">
        <v>23</v>
      </c>
      <c r="B2227" s="3" t="s">
        <v>24</v>
      </c>
      <c r="C2227" s="3" t="s">
        <v>35</v>
      </c>
      <c r="D2227" s="3" t="s">
        <v>36</v>
      </c>
      <c r="E2227" s="3" t="s">
        <v>59</v>
      </c>
      <c r="F2227" s="3" t="s">
        <v>62</v>
      </c>
      <c r="G2227" s="3">
        <v>2016</v>
      </c>
      <c r="H2227" s="3" t="str">
        <f>CONCATENATE("64240647525")</f>
        <v>64240647525</v>
      </c>
      <c r="I2227" s="3" t="s">
        <v>25</v>
      </c>
      <c r="J2227" s="3" t="s">
        <v>26</v>
      </c>
      <c r="K2227" s="3" t="str">
        <f t="shared" si="68"/>
        <v/>
      </c>
      <c r="L2227" s="3" t="str">
        <f t="shared" si="69"/>
        <v>11 11.2 4b</v>
      </c>
      <c r="M2227" s="3" t="str">
        <f>CONCATENATE("DRSCLD61S06B534K")</f>
        <v>DRSCLD61S06B534K</v>
      </c>
      <c r="N2227" s="3" t="s">
        <v>2196</v>
      </c>
      <c r="O2227" s="3"/>
      <c r="P2227" s="4">
        <v>42783</v>
      </c>
      <c r="Q2227" s="3" t="s">
        <v>27</v>
      </c>
      <c r="R2227" s="3" t="s">
        <v>28</v>
      </c>
      <c r="S2227" s="3" t="s">
        <v>29</v>
      </c>
      <c r="T2227" s="5">
        <v>17103.3</v>
      </c>
      <c r="U2227" s="5">
        <v>7374.94</v>
      </c>
      <c r="V2227" s="5">
        <v>6810.53</v>
      </c>
      <c r="W2227" s="5">
        <v>2917.83</v>
      </c>
    </row>
    <row r="2228" spans="1:23" ht="60.75">
      <c r="A2228" s="3" t="s">
        <v>23</v>
      </c>
      <c r="B2228" s="3" t="s">
        <v>24</v>
      </c>
      <c r="C2228" s="3" t="s">
        <v>35</v>
      </c>
      <c r="D2228" s="3" t="s">
        <v>43</v>
      </c>
      <c r="E2228" s="3" t="s">
        <v>34</v>
      </c>
      <c r="F2228" s="3" t="s">
        <v>146</v>
      </c>
      <c r="G2228" s="3">
        <v>2016</v>
      </c>
      <c r="H2228" s="3" t="str">
        <f>CONCATENATE("64240482311")</f>
        <v>64240482311</v>
      </c>
      <c r="I2228" s="3" t="s">
        <v>25</v>
      </c>
      <c r="J2228" s="3" t="s">
        <v>26</v>
      </c>
      <c r="K2228" s="3" t="str">
        <f t="shared" si="68"/>
        <v/>
      </c>
      <c r="L2228" s="3" t="str">
        <f t="shared" si="69"/>
        <v>11 11.2 4b</v>
      </c>
      <c r="M2228" s="3" t="str">
        <f>CONCATENATE("BRNDNC31L27A327P")</f>
        <v>BRNDNC31L27A327P</v>
      </c>
      <c r="N2228" s="3" t="s">
        <v>2197</v>
      </c>
      <c r="O2228" s="3"/>
      <c r="P2228" s="4">
        <v>42783</v>
      </c>
      <c r="Q2228" s="3" t="s">
        <v>27</v>
      </c>
      <c r="R2228" s="3" t="s">
        <v>28</v>
      </c>
      <c r="S2228" s="3" t="s">
        <v>29</v>
      </c>
      <c r="T2228" s="5">
        <v>3076.28</v>
      </c>
      <c r="U2228" s="5">
        <v>1326.49</v>
      </c>
      <c r="V2228" s="5">
        <v>1224.97</v>
      </c>
      <c r="W2228" s="3">
        <v>524.82000000000005</v>
      </c>
    </row>
    <row r="2229" spans="1:23" ht="60.75">
      <c r="A2229" s="3" t="s">
        <v>23</v>
      </c>
      <c r="B2229" s="3" t="s">
        <v>24</v>
      </c>
      <c r="C2229" s="3" t="s">
        <v>35</v>
      </c>
      <c r="D2229" s="3" t="s">
        <v>39</v>
      </c>
      <c r="E2229" s="3" t="s">
        <v>32</v>
      </c>
      <c r="F2229" s="3" t="s">
        <v>215</v>
      </c>
      <c r="G2229" s="3">
        <v>2016</v>
      </c>
      <c r="H2229" s="3" t="str">
        <f>CONCATENATE("64240350898")</f>
        <v>64240350898</v>
      </c>
      <c r="I2229" s="3" t="s">
        <v>25</v>
      </c>
      <c r="J2229" s="3" t="s">
        <v>26</v>
      </c>
      <c r="K2229" s="3" t="str">
        <f t="shared" si="68"/>
        <v/>
      </c>
      <c r="L2229" s="3" t="str">
        <f>CONCATENATE("11 11.1 4b")</f>
        <v>11 11.1 4b</v>
      </c>
      <c r="M2229" s="3" t="str">
        <f>CONCATENATE("CLMGRG83T18E388S")</f>
        <v>CLMGRG83T18E388S</v>
      </c>
      <c r="N2229" s="3" t="s">
        <v>243</v>
      </c>
      <c r="O2229" s="3"/>
      <c r="P2229" s="4">
        <v>42783</v>
      </c>
      <c r="Q2229" s="3" t="s">
        <v>27</v>
      </c>
      <c r="R2229" s="3" t="s">
        <v>28</v>
      </c>
      <c r="S2229" s="3" t="s">
        <v>29</v>
      </c>
      <c r="T2229" s="5">
        <v>1332.3</v>
      </c>
      <c r="U2229" s="3">
        <v>574.49</v>
      </c>
      <c r="V2229" s="3">
        <v>530.52</v>
      </c>
      <c r="W2229" s="3">
        <v>227.29</v>
      </c>
    </row>
    <row r="2230" spans="1:23" ht="36.75">
      <c r="A2230" s="3" t="s">
        <v>23</v>
      </c>
      <c r="B2230" s="3" t="s">
        <v>24</v>
      </c>
      <c r="C2230" s="3" t="s">
        <v>35</v>
      </c>
      <c r="D2230" s="3" t="s">
        <v>36</v>
      </c>
      <c r="E2230" s="3" t="s">
        <v>42</v>
      </c>
      <c r="F2230" s="3" t="s">
        <v>42</v>
      </c>
      <c r="G2230" s="3">
        <v>2016</v>
      </c>
      <c r="H2230" s="3" t="str">
        <f>CONCATENATE("64240926267")</f>
        <v>64240926267</v>
      </c>
      <c r="I2230" s="3" t="s">
        <v>25</v>
      </c>
      <c r="J2230" s="3" t="s">
        <v>26</v>
      </c>
      <c r="K2230" s="3" t="str">
        <f t="shared" si="68"/>
        <v/>
      </c>
      <c r="L2230" s="3" t="str">
        <f>CONCATENATE("11 11.1 4b")</f>
        <v>11 11.1 4b</v>
      </c>
      <c r="M2230" s="3" t="str">
        <f>CONCATENATE("02260890443")</f>
        <v>02260890443</v>
      </c>
      <c r="N2230" s="3" t="s">
        <v>2198</v>
      </c>
      <c r="O2230" s="3"/>
      <c r="P2230" s="4">
        <v>42783</v>
      </c>
      <c r="Q2230" s="3" t="s">
        <v>27</v>
      </c>
      <c r="R2230" s="3" t="s">
        <v>28</v>
      </c>
      <c r="S2230" s="3" t="s">
        <v>29</v>
      </c>
      <c r="T2230" s="5">
        <v>2748.36</v>
      </c>
      <c r="U2230" s="5">
        <v>1185.0899999999999</v>
      </c>
      <c r="V2230" s="5">
        <v>1094.4000000000001</v>
      </c>
      <c r="W2230" s="3">
        <v>468.87</v>
      </c>
    </row>
    <row r="2231" spans="1:23" ht="60.75">
      <c r="A2231" s="3" t="s">
        <v>23</v>
      </c>
      <c r="B2231" s="3" t="s">
        <v>24</v>
      </c>
      <c r="C2231" s="3" t="s">
        <v>35</v>
      </c>
      <c r="D2231" s="3" t="s">
        <v>48</v>
      </c>
      <c r="E2231" s="3" t="s">
        <v>32</v>
      </c>
      <c r="F2231" s="3" t="s">
        <v>129</v>
      </c>
      <c r="G2231" s="3">
        <v>2016</v>
      </c>
      <c r="H2231" s="3" t="str">
        <f>CONCATENATE("64240672366")</f>
        <v>64240672366</v>
      </c>
      <c r="I2231" s="3" t="s">
        <v>25</v>
      </c>
      <c r="J2231" s="3" t="s">
        <v>26</v>
      </c>
      <c r="K2231" s="3" t="str">
        <f t="shared" si="68"/>
        <v/>
      </c>
      <c r="L2231" s="3" t="str">
        <f>CONCATENATE("11 11.2 4b")</f>
        <v>11 11.2 4b</v>
      </c>
      <c r="M2231" s="3" t="str">
        <f>CONCATENATE("SCGLLI57L57F493Y")</f>
        <v>SCGLLI57L57F493Y</v>
      </c>
      <c r="N2231" s="3" t="s">
        <v>2199</v>
      </c>
      <c r="O2231" s="3"/>
      <c r="P2231" s="4">
        <v>42783</v>
      </c>
      <c r="Q2231" s="3" t="s">
        <v>27</v>
      </c>
      <c r="R2231" s="3" t="s">
        <v>28</v>
      </c>
      <c r="S2231" s="3" t="s">
        <v>29</v>
      </c>
      <c r="T2231" s="5">
        <v>1139.78</v>
      </c>
      <c r="U2231" s="3">
        <v>491.47</v>
      </c>
      <c r="V2231" s="3">
        <v>453.86</v>
      </c>
      <c r="W2231" s="3">
        <v>194.45</v>
      </c>
    </row>
    <row r="2232" spans="1:23" ht="60.75">
      <c r="A2232" s="3" t="s">
        <v>23</v>
      </c>
      <c r="B2232" s="3" t="s">
        <v>24</v>
      </c>
      <c r="C2232" s="3" t="s">
        <v>35</v>
      </c>
      <c r="D2232" s="3" t="s">
        <v>43</v>
      </c>
      <c r="E2232" s="3" t="s">
        <v>32</v>
      </c>
      <c r="F2232" s="3" t="s">
        <v>44</v>
      </c>
      <c r="G2232" s="3">
        <v>2016</v>
      </c>
      <c r="H2232" s="3" t="str">
        <f>CONCATENATE("64210530735")</f>
        <v>64210530735</v>
      </c>
      <c r="I2232" s="3" t="s">
        <v>25</v>
      </c>
      <c r="J2232" s="3" t="s">
        <v>26</v>
      </c>
      <c r="K2232" s="3" t="str">
        <f t="shared" si="68"/>
        <v/>
      </c>
      <c r="L2232" s="3" t="str">
        <f>CONCATENATE("13 13.1 4a")</f>
        <v>13 13.1 4a</v>
      </c>
      <c r="M2232" s="3" t="str">
        <f>CONCATENATE("BTTLCU62T52I608W")</f>
        <v>BTTLCU62T52I608W</v>
      </c>
      <c r="N2232" s="3" t="s">
        <v>2200</v>
      </c>
      <c r="O2232" s="3"/>
      <c r="P2232" s="4">
        <v>42783</v>
      </c>
      <c r="Q2232" s="3" t="s">
        <v>27</v>
      </c>
      <c r="R2232" s="3" t="s">
        <v>28</v>
      </c>
      <c r="S2232" s="3" t="s">
        <v>29</v>
      </c>
      <c r="T2232" s="3">
        <v>899.91</v>
      </c>
      <c r="U2232" s="3">
        <v>388.04</v>
      </c>
      <c r="V2232" s="3">
        <v>358.34</v>
      </c>
      <c r="W2232" s="3">
        <v>153.53</v>
      </c>
    </row>
    <row r="2233" spans="1:23" ht="60.75">
      <c r="A2233" s="3" t="s">
        <v>23</v>
      </c>
      <c r="B2233" s="3" t="s">
        <v>24</v>
      </c>
      <c r="C2233" s="3" t="s">
        <v>35</v>
      </c>
      <c r="D2233" s="3" t="s">
        <v>43</v>
      </c>
      <c r="E2233" s="3" t="s">
        <v>30</v>
      </c>
      <c r="F2233" s="3" t="s">
        <v>76</v>
      </c>
      <c r="G2233" s="3">
        <v>2016</v>
      </c>
      <c r="H2233" s="3" t="str">
        <f>CONCATENATE("64240296083")</f>
        <v>64240296083</v>
      </c>
      <c r="I2233" s="3" t="s">
        <v>25</v>
      </c>
      <c r="J2233" s="3" t="s">
        <v>26</v>
      </c>
      <c r="K2233" s="3" t="str">
        <f t="shared" si="68"/>
        <v/>
      </c>
      <c r="L2233" s="3" t="str">
        <f>CONCATENATE("11 11.2 4b")</f>
        <v>11 11.2 4b</v>
      </c>
      <c r="M2233" s="3" t="str">
        <f>CONCATENATE("RSSPPL61H25I459C")</f>
        <v>RSSPPL61H25I459C</v>
      </c>
      <c r="N2233" s="3" t="s">
        <v>982</v>
      </c>
      <c r="O2233" s="3"/>
      <c r="P2233" s="4">
        <v>42783</v>
      </c>
      <c r="Q2233" s="3" t="s">
        <v>27</v>
      </c>
      <c r="R2233" s="3" t="s">
        <v>28</v>
      </c>
      <c r="S2233" s="3" t="s">
        <v>29</v>
      </c>
      <c r="T2233" s="5">
        <v>20098.080000000002</v>
      </c>
      <c r="U2233" s="5">
        <v>8666.2900000000009</v>
      </c>
      <c r="V2233" s="5">
        <v>8003.06</v>
      </c>
      <c r="W2233" s="5">
        <v>3428.73</v>
      </c>
    </row>
    <row r="2234" spans="1:23" ht="60.75">
      <c r="A2234" s="3" t="s">
        <v>23</v>
      </c>
      <c r="B2234" s="3" t="s">
        <v>24</v>
      </c>
      <c r="C2234" s="3" t="s">
        <v>35</v>
      </c>
      <c r="D2234" s="3" t="s">
        <v>36</v>
      </c>
      <c r="E2234" s="3" t="s">
        <v>33</v>
      </c>
      <c r="F2234" s="3" t="s">
        <v>192</v>
      </c>
      <c r="G2234" s="3">
        <v>2016</v>
      </c>
      <c r="H2234" s="3" t="str">
        <f>CONCATENATE("64240260006")</f>
        <v>64240260006</v>
      </c>
      <c r="I2234" s="3" t="s">
        <v>25</v>
      </c>
      <c r="J2234" s="3" t="s">
        <v>26</v>
      </c>
      <c r="K2234" s="3" t="str">
        <f t="shared" si="68"/>
        <v/>
      </c>
      <c r="L2234" s="3" t="str">
        <f>CONCATENATE("11 11.2 4b")</f>
        <v>11 11.2 4b</v>
      </c>
      <c r="M2234" s="3" t="str">
        <f>CONCATENATE("NGLRNZ68P26D096H")</f>
        <v>NGLRNZ68P26D096H</v>
      </c>
      <c r="N2234" s="3" t="s">
        <v>2201</v>
      </c>
      <c r="O2234" s="3"/>
      <c r="P2234" s="4">
        <v>42783</v>
      </c>
      <c r="Q2234" s="3" t="s">
        <v>27</v>
      </c>
      <c r="R2234" s="3" t="s">
        <v>28</v>
      </c>
      <c r="S2234" s="3" t="s">
        <v>29</v>
      </c>
      <c r="T2234" s="5">
        <v>1700.48</v>
      </c>
      <c r="U2234" s="3">
        <v>733.25</v>
      </c>
      <c r="V2234" s="3">
        <v>677.13</v>
      </c>
      <c r="W2234" s="3">
        <v>290.10000000000002</v>
      </c>
    </row>
    <row r="2235" spans="1:23" ht="60.75">
      <c r="A2235" s="3" t="s">
        <v>23</v>
      </c>
      <c r="B2235" s="3" t="s">
        <v>24</v>
      </c>
      <c r="C2235" s="3" t="s">
        <v>35</v>
      </c>
      <c r="D2235" s="3" t="s">
        <v>43</v>
      </c>
      <c r="E2235" s="3" t="s">
        <v>34</v>
      </c>
      <c r="F2235" s="3" t="s">
        <v>146</v>
      </c>
      <c r="G2235" s="3">
        <v>2016</v>
      </c>
      <c r="H2235" s="3" t="str">
        <f>CONCATENATE("64240379798")</f>
        <v>64240379798</v>
      </c>
      <c r="I2235" s="3" t="s">
        <v>25</v>
      </c>
      <c r="J2235" s="3" t="s">
        <v>26</v>
      </c>
      <c r="K2235" s="3" t="str">
        <f t="shared" si="68"/>
        <v/>
      </c>
      <c r="L2235" s="3" t="str">
        <f>CONCATENATE("11 11.2 4b")</f>
        <v>11 11.2 4b</v>
      </c>
      <c r="M2235" s="3" t="str">
        <f>CONCATENATE("BNDLCU60H23G479K")</f>
        <v>BNDLCU60H23G479K</v>
      </c>
      <c r="N2235" s="3" t="s">
        <v>968</v>
      </c>
      <c r="O2235" s="3"/>
      <c r="P2235" s="4">
        <v>42783</v>
      </c>
      <c r="Q2235" s="3" t="s">
        <v>27</v>
      </c>
      <c r="R2235" s="3" t="s">
        <v>28</v>
      </c>
      <c r="S2235" s="3" t="s">
        <v>29</v>
      </c>
      <c r="T2235" s="5">
        <v>7543.23</v>
      </c>
      <c r="U2235" s="5">
        <v>3252.64</v>
      </c>
      <c r="V2235" s="5">
        <v>3003.71</v>
      </c>
      <c r="W2235" s="5">
        <v>1286.8800000000001</v>
      </c>
    </row>
    <row r="2236" spans="1:23" ht="72.75">
      <c r="A2236" s="3" t="s">
        <v>23</v>
      </c>
      <c r="B2236" s="3" t="s">
        <v>24</v>
      </c>
      <c r="C2236" s="3" t="s">
        <v>35</v>
      </c>
      <c r="D2236" s="3" t="s">
        <v>43</v>
      </c>
      <c r="E2236" s="3" t="s">
        <v>33</v>
      </c>
      <c r="F2236" s="3" t="s">
        <v>122</v>
      </c>
      <c r="G2236" s="3">
        <v>2016</v>
      </c>
      <c r="H2236" s="3" t="str">
        <f>CONCATENATE("64211045543")</f>
        <v>64211045543</v>
      </c>
      <c r="I2236" s="3" t="s">
        <v>31</v>
      </c>
      <c r="J2236" s="3" t="s">
        <v>26</v>
      </c>
      <c r="K2236" s="3" t="str">
        <f t="shared" si="68"/>
        <v/>
      </c>
      <c r="L2236" s="3" t="str">
        <f>CONCATENATE("13 13.1 4a")</f>
        <v>13 13.1 4a</v>
      </c>
      <c r="M2236" s="3" t="str">
        <f>CONCATENATE("FNTRMN72A54E743Y")</f>
        <v>FNTRMN72A54E743Y</v>
      </c>
      <c r="N2236" s="3" t="s">
        <v>2202</v>
      </c>
      <c r="O2236" s="3"/>
      <c r="P2236" s="4">
        <v>42783</v>
      </c>
      <c r="Q2236" s="3" t="s">
        <v>27</v>
      </c>
      <c r="R2236" s="3" t="s">
        <v>28</v>
      </c>
      <c r="S2236" s="3" t="s">
        <v>29</v>
      </c>
      <c r="T2236" s="3">
        <v>354.9</v>
      </c>
      <c r="U2236" s="3">
        <v>153.03</v>
      </c>
      <c r="V2236" s="3">
        <v>141.32</v>
      </c>
      <c r="W2236" s="3">
        <v>60.55</v>
      </c>
    </row>
    <row r="2237" spans="1:23" ht="60.75">
      <c r="A2237" s="3" t="s">
        <v>23</v>
      </c>
      <c r="B2237" s="3" t="s">
        <v>24</v>
      </c>
      <c r="C2237" s="3" t="s">
        <v>35</v>
      </c>
      <c r="D2237" s="3" t="s">
        <v>48</v>
      </c>
      <c r="E2237" s="3" t="s">
        <v>30</v>
      </c>
      <c r="F2237" s="3" t="s">
        <v>57</v>
      </c>
      <c r="G2237" s="3">
        <v>2016</v>
      </c>
      <c r="H2237" s="3" t="str">
        <f>CONCATENATE("64240427464")</f>
        <v>64240427464</v>
      </c>
      <c r="I2237" s="3" t="s">
        <v>25</v>
      </c>
      <c r="J2237" s="3" t="s">
        <v>26</v>
      </c>
      <c r="K2237" s="3" t="str">
        <f t="shared" si="68"/>
        <v/>
      </c>
      <c r="L2237" s="3" t="str">
        <f>CONCATENATE("11 11.1 4b")</f>
        <v>11 11.1 4b</v>
      </c>
      <c r="M2237" s="3" t="str">
        <f>CONCATENATE("SGRMRA43E49E694Z")</f>
        <v>SGRMRA43E49E694Z</v>
      </c>
      <c r="N2237" s="3" t="s">
        <v>2203</v>
      </c>
      <c r="O2237" s="3"/>
      <c r="P2237" s="4">
        <v>42783</v>
      </c>
      <c r="Q2237" s="3" t="s">
        <v>27</v>
      </c>
      <c r="R2237" s="3" t="s">
        <v>28</v>
      </c>
      <c r="S2237" s="3" t="s">
        <v>29</v>
      </c>
      <c r="T2237" s="5">
        <v>1338.82</v>
      </c>
      <c r="U2237" s="3">
        <v>577.29999999999995</v>
      </c>
      <c r="V2237" s="3">
        <v>533.12</v>
      </c>
      <c r="W2237" s="3">
        <v>228.4</v>
      </c>
    </row>
    <row r="2238" spans="1:23" ht="72.75">
      <c r="A2238" s="3" t="s">
        <v>23</v>
      </c>
      <c r="B2238" s="3" t="s">
        <v>24</v>
      </c>
      <c r="C2238" s="3" t="s">
        <v>35</v>
      </c>
      <c r="D2238" s="3" t="s">
        <v>39</v>
      </c>
      <c r="E2238" s="3" t="s">
        <v>32</v>
      </c>
      <c r="F2238" s="3" t="s">
        <v>69</v>
      </c>
      <c r="G2238" s="3">
        <v>2016</v>
      </c>
      <c r="H2238" s="3" t="str">
        <f>CONCATENATE("64240499430")</f>
        <v>64240499430</v>
      </c>
      <c r="I2238" s="3" t="s">
        <v>25</v>
      </c>
      <c r="J2238" s="3" t="s">
        <v>26</v>
      </c>
      <c r="K2238" s="3" t="str">
        <f t="shared" si="68"/>
        <v/>
      </c>
      <c r="L2238" s="3" t="str">
        <f>CONCATENATE("11 11.1 4b")</f>
        <v>11 11.1 4b</v>
      </c>
      <c r="M2238" s="3" t="str">
        <f>CONCATENATE("TRNLSN95A16D451R")</f>
        <v>TRNLSN95A16D451R</v>
      </c>
      <c r="N2238" s="3" t="s">
        <v>2204</v>
      </c>
      <c r="O2238" s="3"/>
      <c r="P2238" s="4">
        <v>42783</v>
      </c>
      <c r="Q2238" s="3" t="s">
        <v>27</v>
      </c>
      <c r="R2238" s="3" t="s">
        <v>28</v>
      </c>
      <c r="S2238" s="3" t="s">
        <v>29</v>
      </c>
      <c r="T2238" s="5">
        <v>1383.69</v>
      </c>
      <c r="U2238" s="3">
        <v>596.65</v>
      </c>
      <c r="V2238" s="3">
        <v>550.99</v>
      </c>
      <c r="W2238" s="3">
        <v>236.05</v>
      </c>
    </row>
    <row r="2239" spans="1:23" ht="72.75">
      <c r="A2239" s="3" t="s">
        <v>23</v>
      </c>
      <c r="B2239" s="3" t="s">
        <v>24</v>
      </c>
      <c r="C2239" s="3" t="s">
        <v>35</v>
      </c>
      <c r="D2239" s="3" t="s">
        <v>36</v>
      </c>
      <c r="E2239" s="3" t="s">
        <v>30</v>
      </c>
      <c r="F2239" s="3" t="s">
        <v>37</v>
      </c>
      <c r="G2239" s="3">
        <v>2016</v>
      </c>
      <c r="H2239" s="3" t="str">
        <f>CONCATENATE("64240648770")</f>
        <v>64240648770</v>
      </c>
      <c r="I2239" s="3" t="s">
        <v>25</v>
      </c>
      <c r="J2239" s="3" t="s">
        <v>26</v>
      </c>
      <c r="K2239" s="3" t="str">
        <f t="shared" si="68"/>
        <v/>
      </c>
      <c r="L2239" s="3" t="str">
        <f>CONCATENATE("10 10.1 4b")</f>
        <v>10 10.1 4b</v>
      </c>
      <c r="M2239" s="3" t="str">
        <f>CONCATENATE("SBEMSM76E27D542E")</f>
        <v>SBEMSM76E27D542E</v>
      </c>
      <c r="N2239" s="3" t="s">
        <v>2205</v>
      </c>
      <c r="O2239" s="3"/>
      <c r="P2239" s="4">
        <v>42783</v>
      </c>
      <c r="Q2239" s="3" t="s">
        <v>27</v>
      </c>
      <c r="R2239" s="3" t="s">
        <v>28</v>
      </c>
      <c r="S2239" s="3" t="s">
        <v>29</v>
      </c>
      <c r="T2239" s="5">
        <v>6332.43</v>
      </c>
      <c r="U2239" s="5">
        <v>2730.54</v>
      </c>
      <c r="V2239" s="5">
        <v>2521.5700000000002</v>
      </c>
      <c r="W2239" s="5">
        <v>1080.32</v>
      </c>
    </row>
    <row r="2240" spans="1:23" ht="60.75">
      <c r="A2240" s="3" t="s">
        <v>23</v>
      </c>
      <c r="B2240" s="3" t="s">
        <v>24</v>
      </c>
      <c r="C2240" s="3" t="s">
        <v>35</v>
      </c>
      <c r="D2240" s="3" t="s">
        <v>36</v>
      </c>
      <c r="E2240" s="3" t="s">
        <v>33</v>
      </c>
      <c r="F2240" s="3" t="s">
        <v>89</v>
      </c>
      <c r="G2240" s="3">
        <v>2016</v>
      </c>
      <c r="H2240" s="3" t="str">
        <f>CONCATENATE("64210710923")</f>
        <v>64210710923</v>
      </c>
      <c r="I2240" s="3" t="s">
        <v>25</v>
      </c>
      <c r="J2240" s="3" t="s">
        <v>26</v>
      </c>
      <c r="K2240" s="3" t="str">
        <f t="shared" si="68"/>
        <v/>
      </c>
      <c r="L2240" s="3" t="str">
        <f>CONCATENATE("13 13.1 4a")</f>
        <v>13 13.1 4a</v>
      </c>
      <c r="M2240" s="3" t="str">
        <f>CONCATENATE("RGGNTN38R24L992T")</f>
        <v>RGGNTN38R24L992T</v>
      </c>
      <c r="N2240" s="3" t="s">
        <v>2206</v>
      </c>
      <c r="O2240" s="3"/>
      <c r="P2240" s="4">
        <v>42783</v>
      </c>
      <c r="Q2240" s="3" t="s">
        <v>27</v>
      </c>
      <c r="R2240" s="3" t="s">
        <v>28</v>
      </c>
      <c r="S2240" s="3" t="s">
        <v>29</v>
      </c>
      <c r="T2240" s="5">
        <v>1892.57</v>
      </c>
      <c r="U2240" s="3">
        <v>816.08</v>
      </c>
      <c r="V2240" s="3">
        <v>753.62</v>
      </c>
      <c r="W2240" s="3">
        <v>322.87</v>
      </c>
    </row>
    <row r="2241" spans="1:23" ht="60.75">
      <c r="A2241" s="3" t="s">
        <v>23</v>
      </c>
      <c r="B2241" s="3" t="s">
        <v>24</v>
      </c>
      <c r="C2241" s="3" t="s">
        <v>35</v>
      </c>
      <c r="D2241" s="3" t="s">
        <v>36</v>
      </c>
      <c r="E2241" s="3" t="s">
        <v>30</v>
      </c>
      <c r="F2241" s="3" t="s">
        <v>37</v>
      </c>
      <c r="G2241" s="3">
        <v>2016</v>
      </c>
      <c r="H2241" s="3" t="str">
        <f>CONCATENATE("64240570974")</f>
        <v>64240570974</v>
      </c>
      <c r="I2241" s="3" t="s">
        <v>25</v>
      </c>
      <c r="J2241" s="3" t="s">
        <v>26</v>
      </c>
      <c r="K2241" s="3" t="str">
        <f t="shared" si="68"/>
        <v/>
      </c>
      <c r="L2241" s="3" t="str">
        <f>CONCATENATE("11 11.1 4b")</f>
        <v>11 11.1 4b</v>
      </c>
      <c r="M2241" s="3" t="str">
        <f>CONCATENATE("NDRVNT88C61A252O")</f>
        <v>NDRVNT88C61A252O</v>
      </c>
      <c r="N2241" s="3" t="s">
        <v>2207</v>
      </c>
      <c r="O2241" s="3"/>
      <c r="P2241" s="4">
        <v>42783</v>
      </c>
      <c r="Q2241" s="3" t="s">
        <v>27</v>
      </c>
      <c r="R2241" s="3" t="s">
        <v>28</v>
      </c>
      <c r="S2241" s="3" t="s">
        <v>29</v>
      </c>
      <c r="T2241" s="5">
        <v>1822.1</v>
      </c>
      <c r="U2241" s="3">
        <v>785.69</v>
      </c>
      <c r="V2241" s="3">
        <v>725.56</v>
      </c>
      <c r="W2241" s="3">
        <v>310.85000000000002</v>
      </c>
    </row>
    <row r="2242" spans="1:23" ht="72.75">
      <c r="A2242" s="3" t="s">
        <v>23</v>
      </c>
      <c r="B2242" s="3" t="s">
        <v>24</v>
      </c>
      <c r="C2242" s="3" t="s">
        <v>35</v>
      </c>
      <c r="D2242" s="3" t="s">
        <v>48</v>
      </c>
      <c r="E2242" s="3" t="s">
        <v>49</v>
      </c>
      <c r="F2242" s="3" t="s">
        <v>50</v>
      </c>
      <c r="G2242" s="3">
        <v>2016</v>
      </c>
      <c r="H2242" s="3" t="str">
        <f>CONCATENATE("64240398749")</f>
        <v>64240398749</v>
      </c>
      <c r="I2242" s="3" t="s">
        <v>25</v>
      </c>
      <c r="J2242" s="3" t="s">
        <v>26</v>
      </c>
      <c r="K2242" s="3" t="str">
        <f t="shared" si="68"/>
        <v/>
      </c>
      <c r="L2242" s="3" t="str">
        <f>CONCATENATE("11 11.2 4b")</f>
        <v>11 11.2 4b</v>
      </c>
      <c r="M2242" s="3" t="str">
        <f>CONCATENATE("SLVNNA64A48A739U")</f>
        <v>SLVNNA64A48A739U</v>
      </c>
      <c r="N2242" s="3" t="s">
        <v>2208</v>
      </c>
      <c r="O2242" s="3"/>
      <c r="P2242" s="4">
        <v>42783</v>
      </c>
      <c r="Q2242" s="3" t="s">
        <v>27</v>
      </c>
      <c r="R2242" s="3" t="s">
        <v>28</v>
      </c>
      <c r="S2242" s="3" t="s">
        <v>29</v>
      </c>
      <c r="T2242" s="5">
        <v>1502.35</v>
      </c>
      <c r="U2242" s="3">
        <v>647.80999999999995</v>
      </c>
      <c r="V2242" s="3">
        <v>598.24</v>
      </c>
      <c r="W2242" s="3">
        <v>256.3</v>
      </c>
    </row>
    <row r="2243" spans="1:23" ht="72.75">
      <c r="A2243" s="3" t="s">
        <v>23</v>
      </c>
      <c r="B2243" s="3" t="s">
        <v>24</v>
      </c>
      <c r="C2243" s="3" t="s">
        <v>35</v>
      </c>
      <c r="D2243" s="3" t="s">
        <v>36</v>
      </c>
      <c r="E2243" s="3" t="s">
        <v>30</v>
      </c>
      <c r="F2243" s="3" t="s">
        <v>323</v>
      </c>
      <c r="G2243" s="3">
        <v>2016</v>
      </c>
      <c r="H2243" s="3" t="str">
        <f>CONCATENATE("64240731295")</f>
        <v>64240731295</v>
      </c>
      <c r="I2243" s="3" t="s">
        <v>25</v>
      </c>
      <c r="J2243" s="3" t="s">
        <v>26</v>
      </c>
      <c r="K2243" s="3" t="str">
        <f t="shared" si="68"/>
        <v/>
      </c>
      <c r="L2243" s="3" t="str">
        <f>CONCATENATE("11 11.1 4b")</f>
        <v>11 11.1 4b</v>
      </c>
      <c r="M2243" s="3" t="str">
        <f>CONCATENATE("CRRMKA79M42G005N")</f>
        <v>CRRMKA79M42G005N</v>
      </c>
      <c r="N2243" s="3" t="s">
        <v>2209</v>
      </c>
      <c r="O2243" s="3"/>
      <c r="P2243" s="4">
        <v>42783</v>
      </c>
      <c r="Q2243" s="3" t="s">
        <v>27</v>
      </c>
      <c r="R2243" s="3" t="s">
        <v>28</v>
      </c>
      <c r="S2243" s="3" t="s">
        <v>29</v>
      </c>
      <c r="T2243" s="5">
        <v>3348.5</v>
      </c>
      <c r="U2243" s="5">
        <v>1443.87</v>
      </c>
      <c r="V2243" s="5">
        <v>1333.37</v>
      </c>
      <c r="W2243" s="3">
        <v>571.26</v>
      </c>
    </row>
    <row r="2244" spans="1:23" ht="60.75">
      <c r="A2244" s="3" t="s">
        <v>23</v>
      </c>
      <c r="B2244" s="3" t="s">
        <v>24</v>
      </c>
      <c r="C2244" s="3" t="s">
        <v>35</v>
      </c>
      <c r="D2244" s="3" t="s">
        <v>39</v>
      </c>
      <c r="E2244" s="3" t="s">
        <v>30</v>
      </c>
      <c r="F2244" s="3" t="s">
        <v>196</v>
      </c>
      <c r="G2244" s="3">
        <v>2016</v>
      </c>
      <c r="H2244" s="3" t="str">
        <f>CONCATENATE("64240712550")</f>
        <v>64240712550</v>
      </c>
      <c r="I2244" s="3" t="s">
        <v>25</v>
      </c>
      <c r="J2244" s="3" t="s">
        <v>26</v>
      </c>
      <c r="K2244" s="3" t="str">
        <f t="shared" si="68"/>
        <v/>
      </c>
      <c r="L2244" s="3" t="str">
        <f>CONCATENATE("11 11.2 4b")</f>
        <v>11 11.2 4b</v>
      </c>
      <c r="M2244" s="3" t="str">
        <f>CONCATENATE("VRDNNZ44P53C704S")</f>
        <v>VRDNNZ44P53C704S</v>
      </c>
      <c r="N2244" s="3" t="s">
        <v>2210</v>
      </c>
      <c r="O2244" s="3"/>
      <c r="P2244" s="4">
        <v>42783</v>
      </c>
      <c r="Q2244" s="3" t="s">
        <v>27</v>
      </c>
      <c r="R2244" s="3" t="s">
        <v>28</v>
      </c>
      <c r="S2244" s="3" t="s">
        <v>29</v>
      </c>
      <c r="T2244" s="5">
        <v>1750.92</v>
      </c>
      <c r="U2244" s="3">
        <v>755</v>
      </c>
      <c r="V2244" s="3">
        <v>697.22</v>
      </c>
      <c r="W2244" s="3">
        <v>298.7</v>
      </c>
    </row>
    <row r="2245" spans="1:23" ht="60.75">
      <c r="A2245" s="3" t="s">
        <v>23</v>
      </c>
      <c r="B2245" s="3" t="s">
        <v>24</v>
      </c>
      <c r="C2245" s="3" t="s">
        <v>35</v>
      </c>
      <c r="D2245" s="3" t="s">
        <v>43</v>
      </c>
      <c r="E2245" s="3" t="s">
        <v>32</v>
      </c>
      <c r="F2245" s="3" t="s">
        <v>44</v>
      </c>
      <c r="G2245" s="3">
        <v>2016</v>
      </c>
      <c r="H2245" s="3" t="str">
        <f>CONCATENATE("64240367058")</f>
        <v>64240367058</v>
      </c>
      <c r="I2245" s="3" t="s">
        <v>25</v>
      </c>
      <c r="J2245" s="3" t="s">
        <v>26</v>
      </c>
      <c r="K2245" s="3" t="str">
        <f t="shared" si="68"/>
        <v/>
      </c>
      <c r="L2245" s="3" t="str">
        <f>CONCATENATE("11 11.2 4b")</f>
        <v>11 11.2 4b</v>
      </c>
      <c r="M2245" s="3" t="str">
        <f>CONCATENATE("LNDGCM87B18L500O")</f>
        <v>LNDGCM87B18L500O</v>
      </c>
      <c r="N2245" s="3" t="s">
        <v>2211</v>
      </c>
      <c r="O2245" s="3"/>
      <c r="P2245" s="4">
        <v>42783</v>
      </c>
      <c r="Q2245" s="3" t="s">
        <v>27</v>
      </c>
      <c r="R2245" s="3" t="s">
        <v>28</v>
      </c>
      <c r="S2245" s="3" t="s">
        <v>29</v>
      </c>
      <c r="T2245" s="5">
        <v>1989.16</v>
      </c>
      <c r="U2245" s="3">
        <v>857.73</v>
      </c>
      <c r="V2245" s="3">
        <v>792.08</v>
      </c>
      <c r="W2245" s="3">
        <v>339.35</v>
      </c>
    </row>
    <row r="2246" spans="1:23" ht="60.75">
      <c r="A2246" s="3" t="s">
        <v>23</v>
      </c>
      <c r="B2246" s="3" t="s">
        <v>24</v>
      </c>
      <c r="C2246" s="3" t="s">
        <v>35</v>
      </c>
      <c r="D2246" s="3" t="s">
        <v>43</v>
      </c>
      <c r="E2246" s="3" t="s">
        <v>30</v>
      </c>
      <c r="F2246" s="3" t="s">
        <v>76</v>
      </c>
      <c r="G2246" s="3">
        <v>2016</v>
      </c>
      <c r="H2246" s="3" t="str">
        <f>CONCATENATE("64210107823")</f>
        <v>64210107823</v>
      </c>
      <c r="I2246" s="3" t="s">
        <v>25</v>
      </c>
      <c r="J2246" s="3" t="s">
        <v>26</v>
      </c>
      <c r="K2246" s="3" t="str">
        <f t="shared" si="68"/>
        <v/>
      </c>
      <c r="L2246" s="3" t="str">
        <f>CONCATENATE("13 13.1 4a")</f>
        <v>13 13.1 4a</v>
      </c>
      <c r="M2246" s="3" t="str">
        <f>CONCATENATE("VNNGTN37D23F524F")</f>
        <v>VNNGTN37D23F524F</v>
      </c>
      <c r="N2246" s="3" t="s">
        <v>2212</v>
      </c>
      <c r="O2246" s="3"/>
      <c r="P2246" s="4">
        <v>42783</v>
      </c>
      <c r="Q2246" s="3" t="s">
        <v>27</v>
      </c>
      <c r="R2246" s="3" t="s">
        <v>28</v>
      </c>
      <c r="S2246" s="3" t="s">
        <v>29</v>
      </c>
      <c r="T2246" s="5">
        <v>1130.47</v>
      </c>
      <c r="U2246" s="3">
        <v>487.46</v>
      </c>
      <c r="V2246" s="3">
        <v>450.15</v>
      </c>
      <c r="W2246" s="3">
        <v>192.86</v>
      </c>
    </row>
    <row r="2247" spans="1:23" ht="60.75">
      <c r="A2247" s="3" t="s">
        <v>23</v>
      </c>
      <c r="B2247" s="3" t="s">
        <v>24</v>
      </c>
      <c r="C2247" s="3" t="s">
        <v>35</v>
      </c>
      <c r="D2247" s="3" t="s">
        <v>43</v>
      </c>
      <c r="E2247" s="3" t="s">
        <v>30</v>
      </c>
      <c r="F2247" s="3" t="s">
        <v>104</v>
      </c>
      <c r="G2247" s="3">
        <v>2016</v>
      </c>
      <c r="H2247" s="3" t="str">
        <f>CONCATENATE("64240246039")</f>
        <v>64240246039</v>
      </c>
      <c r="I2247" s="3" t="s">
        <v>25</v>
      </c>
      <c r="J2247" s="3" t="s">
        <v>26</v>
      </c>
      <c r="K2247" s="3" t="str">
        <f t="shared" si="68"/>
        <v/>
      </c>
      <c r="L2247" s="3" t="str">
        <f>CONCATENATE("11 11.2 4b")</f>
        <v>11 11.2 4b</v>
      </c>
      <c r="M2247" s="3" t="str">
        <f>CONCATENATE("CHRPFR67M24F979O")</f>
        <v>CHRPFR67M24F979O</v>
      </c>
      <c r="N2247" s="3" t="s">
        <v>2213</v>
      </c>
      <c r="O2247" s="3"/>
      <c r="P2247" s="4">
        <v>42783</v>
      </c>
      <c r="Q2247" s="3" t="s">
        <v>27</v>
      </c>
      <c r="R2247" s="3" t="s">
        <v>28</v>
      </c>
      <c r="S2247" s="3" t="s">
        <v>29</v>
      </c>
      <c r="T2247" s="3">
        <v>518.62</v>
      </c>
      <c r="U2247" s="3">
        <v>223.63</v>
      </c>
      <c r="V2247" s="3">
        <v>206.51</v>
      </c>
      <c r="W2247" s="3">
        <v>88.48</v>
      </c>
    </row>
    <row r="2248" spans="1:23" ht="72.75">
      <c r="A2248" s="3" t="s">
        <v>23</v>
      </c>
      <c r="B2248" s="3" t="s">
        <v>24</v>
      </c>
      <c r="C2248" s="3" t="s">
        <v>35</v>
      </c>
      <c r="D2248" s="3" t="s">
        <v>36</v>
      </c>
      <c r="E2248" s="3" t="s">
        <v>30</v>
      </c>
      <c r="F2248" s="3" t="s">
        <v>37</v>
      </c>
      <c r="G2248" s="3">
        <v>2016</v>
      </c>
      <c r="H2248" s="3" t="str">
        <f>CONCATENATE("64240575908")</f>
        <v>64240575908</v>
      </c>
      <c r="I2248" s="3" t="s">
        <v>25</v>
      </c>
      <c r="J2248" s="3" t="s">
        <v>26</v>
      </c>
      <c r="K2248" s="3" t="str">
        <f t="shared" si="68"/>
        <v/>
      </c>
      <c r="L2248" s="3" t="str">
        <f>CONCATENATE("10 10.1 4b")</f>
        <v>10 10.1 4b</v>
      </c>
      <c r="M2248" s="3" t="str">
        <f>CONCATENATE("MCCGPP57R08G516B")</f>
        <v>MCCGPP57R08G516B</v>
      </c>
      <c r="N2248" s="3" t="s">
        <v>2214</v>
      </c>
      <c r="O2248" s="3"/>
      <c r="P2248" s="4">
        <v>42783</v>
      </c>
      <c r="Q2248" s="3" t="s">
        <v>27</v>
      </c>
      <c r="R2248" s="3" t="s">
        <v>28</v>
      </c>
      <c r="S2248" s="3" t="s">
        <v>29</v>
      </c>
      <c r="T2248" s="5">
        <v>8637.94</v>
      </c>
      <c r="U2248" s="5">
        <v>3724.68</v>
      </c>
      <c r="V2248" s="5">
        <v>3439.63</v>
      </c>
      <c r="W2248" s="5">
        <v>1473.63</v>
      </c>
    </row>
    <row r="2249" spans="1:23" ht="72.75">
      <c r="A2249" s="3" t="s">
        <v>23</v>
      </c>
      <c r="B2249" s="3" t="s">
        <v>24</v>
      </c>
      <c r="C2249" s="3" t="s">
        <v>35</v>
      </c>
      <c r="D2249" s="3" t="s">
        <v>36</v>
      </c>
      <c r="E2249" s="3" t="s">
        <v>30</v>
      </c>
      <c r="F2249" s="3" t="s">
        <v>53</v>
      </c>
      <c r="G2249" s="3">
        <v>2016</v>
      </c>
      <c r="H2249" s="3" t="str">
        <f>CONCATENATE("64240303079")</f>
        <v>64240303079</v>
      </c>
      <c r="I2249" s="3" t="s">
        <v>25</v>
      </c>
      <c r="J2249" s="3" t="s">
        <v>26</v>
      </c>
      <c r="K2249" s="3" t="str">
        <f t="shared" si="68"/>
        <v/>
      </c>
      <c r="L2249" s="3" t="str">
        <f>CONCATENATE("11 11.2 4b")</f>
        <v>11 11.2 4b</v>
      </c>
      <c r="M2249" s="3" t="str">
        <f>CONCATENATE("CPCRRT76M24H769Q")</f>
        <v>CPCRRT76M24H769Q</v>
      </c>
      <c r="N2249" s="3" t="s">
        <v>2215</v>
      </c>
      <c r="O2249" s="3"/>
      <c r="P2249" s="4">
        <v>42783</v>
      </c>
      <c r="Q2249" s="3" t="s">
        <v>27</v>
      </c>
      <c r="R2249" s="3" t="s">
        <v>28</v>
      </c>
      <c r="S2249" s="3" t="s">
        <v>29</v>
      </c>
      <c r="T2249" s="5">
        <v>1691.43</v>
      </c>
      <c r="U2249" s="3">
        <v>729.34</v>
      </c>
      <c r="V2249" s="3">
        <v>673.53</v>
      </c>
      <c r="W2249" s="3">
        <v>288.56</v>
      </c>
    </row>
    <row r="2250" spans="1:23" ht="72.75">
      <c r="A2250" s="3" t="s">
        <v>23</v>
      </c>
      <c r="B2250" s="3" t="s">
        <v>24</v>
      </c>
      <c r="C2250" s="3" t="s">
        <v>35</v>
      </c>
      <c r="D2250" s="3" t="s">
        <v>39</v>
      </c>
      <c r="E2250" s="3" t="s">
        <v>32</v>
      </c>
      <c r="F2250" s="3" t="s">
        <v>69</v>
      </c>
      <c r="G2250" s="3">
        <v>2016</v>
      </c>
      <c r="H2250" s="3" t="str">
        <f>CONCATENATE("64240526976")</f>
        <v>64240526976</v>
      </c>
      <c r="I2250" s="3" t="s">
        <v>25</v>
      </c>
      <c r="J2250" s="3" t="s">
        <v>26</v>
      </c>
      <c r="K2250" s="3" t="str">
        <f t="shared" si="68"/>
        <v/>
      </c>
      <c r="L2250" s="3" t="str">
        <f>CONCATENATE("10 10.1 4a")</f>
        <v>10 10.1 4a</v>
      </c>
      <c r="M2250" s="3" t="str">
        <f>CONCATENATE("MRCMNO73A42D451D")</f>
        <v>MRCMNO73A42D451D</v>
      </c>
      <c r="N2250" s="3" t="s">
        <v>2216</v>
      </c>
      <c r="O2250" s="3"/>
      <c r="P2250" s="4">
        <v>42783</v>
      </c>
      <c r="Q2250" s="3" t="s">
        <v>27</v>
      </c>
      <c r="R2250" s="3" t="s">
        <v>28</v>
      </c>
      <c r="S2250" s="3" t="s">
        <v>29</v>
      </c>
      <c r="T2250" s="3">
        <v>123.54</v>
      </c>
      <c r="U2250" s="3">
        <v>53.27</v>
      </c>
      <c r="V2250" s="3">
        <v>49.19</v>
      </c>
      <c r="W2250" s="3">
        <v>21.08</v>
      </c>
    </row>
    <row r="2251" spans="1:23" ht="60.75">
      <c r="A2251" s="3" t="s">
        <v>23</v>
      </c>
      <c r="B2251" s="3" t="s">
        <v>24</v>
      </c>
      <c r="C2251" s="3" t="s">
        <v>35</v>
      </c>
      <c r="D2251" s="3" t="s">
        <v>43</v>
      </c>
      <c r="E2251" s="3" t="s">
        <v>30</v>
      </c>
      <c r="F2251" s="3" t="s">
        <v>104</v>
      </c>
      <c r="G2251" s="3">
        <v>2016</v>
      </c>
      <c r="H2251" s="3" t="str">
        <f>CONCATENATE("64240207379")</f>
        <v>64240207379</v>
      </c>
      <c r="I2251" s="3" t="s">
        <v>25</v>
      </c>
      <c r="J2251" s="3" t="s">
        <v>26</v>
      </c>
      <c r="K2251" s="3" t="str">
        <f t="shared" si="68"/>
        <v/>
      </c>
      <c r="L2251" s="3" t="str">
        <f>CONCATENATE("11 11.2 4b")</f>
        <v>11 11.2 4b</v>
      </c>
      <c r="M2251" s="3" t="str">
        <f>CONCATENATE("SLVDLM31T21L500X")</f>
        <v>SLVDLM31T21L500X</v>
      </c>
      <c r="N2251" s="3" t="s">
        <v>2217</v>
      </c>
      <c r="O2251" s="3"/>
      <c r="P2251" s="4">
        <v>42783</v>
      </c>
      <c r="Q2251" s="3" t="s">
        <v>27</v>
      </c>
      <c r="R2251" s="3" t="s">
        <v>28</v>
      </c>
      <c r="S2251" s="3" t="s">
        <v>29</v>
      </c>
      <c r="T2251" s="5">
        <v>1268.57</v>
      </c>
      <c r="U2251" s="3">
        <v>547.01</v>
      </c>
      <c r="V2251" s="3">
        <v>505.14</v>
      </c>
      <c r="W2251" s="3">
        <v>216.42</v>
      </c>
    </row>
    <row r="2252" spans="1:23" ht="60.75">
      <c r="A2252" s="3" t="s">
        <v>23</v>
      </c>
      <c r="B2252" s="3" t="s">
        <v>24</v>
      </c>
      <c r="C2252" s="3" t="s">
        <v>35</v>
      </c>
      <c r="D2252" s="3" t="s">
        <v>36</v>
      </c>
      <c r="E2252" s="3" t="s">
        <v>30</v>
      </c>
      <c r="F2252" s="3" t="s">
        <v>37</v>
      </c>
      <c r="G2252" s="3">
        <v>2016</v>
      </c>
      <c r="H2252" s="3" t="str">
        <f>CONCATENATE("64210816589")</f>
        <v>64210816589</v>
      </c>
      <c r="I2252" s="3" t="s">
        <v>25</v>
      </c>
      <c r="J2252" s="3" t="s">
        <v>26</v>
      </c>
      <c r="K2252" s="3" t="str">
        <f t="shared" si="68"/>
        <v/>
      </c>
      <c r="L2252" s="3" t="str">
        <f>CONCATENATE("13 13.1 4a")</f>
        <v>13 13.1 4a</v>
      </c>
      <c r="M2252" s="3" t="str">
        <f>CONCATENATE("MRTPTR33T19D691M")</f>
        <v>MRTPTR33T19D691M</v>
      </c>
      <c r="N2252" s="3" t="s">
        <v>1079</v>
      </c>
      <c r="O2252" s="3"/>
      <c r="P2252" s="4">
        <v>42783</v>
      </c>
      <c r="Q2252" s="3" t="s">
        <v>27</v>
      </c>
      <c r="R2252" s="3" t="s">
        <v>28</v>
      </c>
      <c r="S2252" s="3" t="s">
        <v>29</v>
      </c>
      <c r="T2252" s="3">
        <v>926.8</v>
      </c>
      <c r="U2252" s="3">
        <v>399.64</v>
      </c>
      <c r="V2252" s="3">
        <v>369.05</v>
      </c>
      <c r="W2252" s="3">
        <v>158.11000000000001</v>
      </c>
    </row>
    <row r="2253" spans="1:23" ht="60.75">
      <c r="A2253" s="3" t="s">
        <v>23</v>
      </c>
      <c r="B2253" s="3" t="s">
        <v>24</v>
      </c>
      <c r="C2253" s="3" t="s">
        <v>35</v>
      </c>
      <c r="D2253" s="3" t="s">
        <v>48</v>
      </c>
      <c r="E2253" s="3" t="s">
        <v>49</v>
      </c>
      <c r="F2253" s="3" t="s">
        <v>50</v>
      </c>
      <c r="G2253" s="3">
        <v>2016</v>
      </c>
      <c r="H2253" s="3" t="str">
        <f>CONCATENATE("64240322293")</f>
        <v>64240322293</v>
      </c>
      <c r="I2253" s="3" t="s">
        <v>25</v>
      </c>
      <c r="J2253" s="3" t="s">
        <v>26</v>
      </c>
      <c r="K2253" s="3" t="str">
        <f t="shared" si="68"/>
        <v/>
      </c>
      <c r="L2253" s="3" t="str">
        <f>CONCATENATE("11 11.2 4b")</f>
        <v>11 11.2 4b</v>
      </c>
      <c r="M2253" s="3" t="str">
        <f>CONCATENATE("CPLNDR50B03I156F")</f>
        <v>CPLNDR50B03I156F</v>
      </c>
      <c r="N2253" s="3" t="s">
        <v>2218</v>
      </c>
      <c r="O2253" s="3"/>
      <c r="P2253" s="4">
        <v>42783</v>
      </c>
      <c r="Q2253" s="3" t="s">
        <v>27</v>
      </c>
      <c r="R2253" s="3" t="s">
        <v>28</v>
      </c>
      <c r="S2253" s="3" t="s">
        <v>29</v>
      </c>
      <c r="T2253" s="5">
        <v>1948.53</v>
      </c>
      <c r="U2253" s="3">
        <v>840.21</v>
      </c>
      <c r="V2253" s="3">
        <v>775.9</v>
      </c>
      <c r="W2253" s="3">
        <v>332.42</v>
      </c>
    </row>
    <row r="2254" spans="1:23" ht="60.75">
      <c r="A2254" s="3" t="s">
        <v>23</v>
      </c>
      <c r="B2254" s="3" t="s">
        <v>24</v>
      </c>
      <c r="C2254" s="3" t="s">
        <v>35</v>
      </c>
      <c r="D2254" s="3" t="s">
        <v>48</v>
      </c>
      <c r="E2254" s="3" t="s">
        <v>49</v>
      </c>
      <c r="F2254" s="3" t="s">
        <v>80</v>
      </c>
      <c r="G2254" s="3">
        <v>2016</v>
      </c>
      <c r="H2254" s="3" t="str">
        <f>CONCATENATE("64240260907")</f>
        <v>64240260907</v>
      </c>
      <c r="I2254" s="3" t="s">
        <v>25</v>
      </c>
      <c r="J2254" s="3" t="s">
        <v>26</v>
      </c>
      <c r="K2254" s="3" t="str">
        <f t="shared" si="68"/>
        <v/>
      </c>
      <c r="L2254" s="3" t="str">
        <f>CONCATENATE("11 11.2 4b")</f>
        <v>11 11.2 4b</v>
      </c>
      <c r="M2254" s="3" t="str">
        <f>CONCATENATE("BRBFBA76E01B474C")</f>
        <v>BRBFBA76E01B474C</v>
      </c>
      <c r="N2254" s="3" t="s">
        <v>438</v>
      </c>
      <c r="O2254" s="3"/>
      <c r="P2254" s="4">
        <v>42783</v>
      </c>
      <c r="Q2254" s="3" t="s">
        <v>27</v>
      </c>
      <c r="R2254" s="3" t="s">
        <v>28</v>
      </c>
      <c r="S2254" s="3" t="s">
        <v>29</v>
      </c>
      <c r="T2254" s="5">
        <v>20026.490000000002</v>
      </c>
      <c r="U2254" s="5">
        <v>8635.42</v>
      </c>
      <c r="V2254" s="5">
        <v>7974.55</v>
      </c>
      <c r="W2254" s="5">
        <v>3416.52</v>
      </c>
    </row>
    <row r="2255" spans="1:23" ht="72.75">
      <c r="A2255" s="3" t="s">
        <v>23</v>
      </c>
      <c r="B2255" s="3" t="s">
        <v>24</v>
      </c>
      <c r="C2255" s="3" t="s">
        <v>35</v>
      </c>
      <c r="D2255" s="3" t="s">
        <v>43</v>
      </c>
      <c r="E2255" s="3" t="s">
        <v>49</v>
      </c>
      <c r="F2255" s="3" t="s">
        <v>139</v>
      </c>
      <c r="G2255" s="3">
        <v>2016</v>
      </c>
      <c r="H2255" s="3" t="str">
        <f>CONCATENATE("64240398343")</f>
        <v>64240398343</v>
      </c>
      <c r="I2255" s="3" t="s">
        <v>25</v>
      </c>
      <c r="J2255" s="3" t="s">
        <v>26</v>
      </c>
      <c r="K2255" s="3" t="str">
        <f t="shared" si="68"/>
        <v/>
      </c>
      <c r="L2255" s="3" t="str">
        <f>CONCATENATE("11 11.2 4b")</f>
        <v>11 11.2 4b</v>
      </c>
      <c r="M2255" s="3" t="str">
        <f>CONCATENATE("GLNLCU83B18D488H")</f>
        <v>GLNLCU83B18D488H</v>
      </c>
      <c r="N2255" s="3" t="s">
        <v>2219</v>
      </c>
      <c r="O2255" s="3"/>
      <c r="P2255" s="4">
        <v>42783</v>
      </c>
      <c r="Q2255" s="3" t="s">
        <v>27</v>
      </c>
      <c r="R2255" s="3" t="s">
        <v>28</v>
      </c>
      <c r="S2255" s="3" t="s">
        <v>29</v>
      </c>
      <c r="T2255" s="5">
        <v>1824.03</v>
      </c>
      <c r="U2255" s="3">
        <v>786.52</v>
      </c>
      <c r="V2255" s="3">
        <v>726.33</v>
      </c>
      <c r="W2255" s="3">
        <v>311.18</v>
      </c>
    </row>
    <row r="2256" spans="1:23" ht="36.75">
      <c r="A2256" s="3" t="s">
        <v>23</v>
      </c>
      <c r="B2256" s="3" t="s">
        <v>24</v>
      </c>
      <c r="C2256" s="3" t="s">
        <v>35</v>
      </c>
      <c r="D2256" s="3" t="s">
        <v>43</v>
      </c>
      <c r="E2256" s="3" t="s">
        <v>34</v>
      </c>
      <c r="F2256" s="3" t="s">
        <v>146</v>
      </c>
      <c r="G2256" s="3">
        <v>2016</v>
      </c>
      <c r="H2256" s="3" t="str">
        <f>CONCATENATE("64210621476")</f>
        <v>64210621476</v>
      </c>
      <c r="I2256" s="3" t="s">
        <v>31</v>
      </c>
      <c r="J2256" s="3" t="s">
        <v>26</v>
      </c>
      <c r="K2256" s="3" t="str">
        <f t="shared" si="68"/>
        <v/>
      </c>
      <c r="L2256" s="3" t="str">
        <f>CONCATENATE("13 13.1 4a")</f>
        <v>13 13.1 4a</v>
      </c>
      <c r="M2256" s="3" t="str">
        <f>CONCATENATE("02005070418")</f>
        <v>02005070418</v>
      </c>
      <c r="N2256" s="3" t="s">
        <v>2220</v>
      </c>
      <c r="O2256" s="3"/>
      <c r="P2256" s="4">
        <v>42783</v>
      </c>
      <c r="Q2256" s="3" t="s">
        <v>27</v>
      </c>
      <c r="R2256" s="3" t="s">
        <v>28</v>
      </c>
      <c r="S2256" s="3" t="s">
        <v>29</v>
      </c>
      <c r="T2256" s="5">
        <v>2436.91</v>
      </c>
      <c r="U2256" s="5">
        <v>1050.8</v>
      </c>
      <c r="V2256" s="3">
        <v>970.38</v>
      </c>
      <c r="W2256" s="3">
        <v>415.73</v>
      </c>
    </row>
    <row r="2257" spans="1:23" ht="60.75">
      <c r="A2257" s="3" t="s">
        <v>23</v>
      </c>
      <c r="B2257" s="3" t="s">
        <v>24</v>
      </c>
      <c r="C2257" s="3" t="s">
        <v>35</v>
      </c>
      <c r="D2257" s="3" t="s">
        <v>48</v>
      </c>
      <c r="E2257" s="3" t="s">
        <v>30</v>
      </c>
      <c r="F2257" s="3" t="s">
        <v>57</v>
      </c>
      <c r="G2257" s="3">
        <v>2016</v>
      </c>
      <c r="H2257" s="3" t="str">
        <f>CONCATENATE("64240834479")</f>
        <v>64240834479</v>
      </c>
      <c r="I2257" s="3" t="s">
        <v>25</v>
      </c>
      <c r="J2257" s="3" t="s">
        <v>26</v>
      </c>
      <c r="K2257" s="3" t="str">
        <f t="shared" si="68"/>
        <v/>
      </c>
      <c r="L2257" s="3" t="str">
        <f>CONCATENATE("11 11.1 4b")</f>
        <v>11 11.1 4b</v>
      </c>
      <c r="M2257" s="3" t="str">
        <f>CONCATENATE("CCCNRE68S10E783G")</f>
        <v>CCCNRE68S10E783G</v>
      </c>
      <c r="N2257" s="3" t="s">
        <v>2221</v>
      </c>
      <c r="O2257" s="3"/>
      <c r="P2257" s="4">
        <v>42783</v>
      </c>
      <c r="Q2257" s="3" t="s">
        <v>27</v>
      </c>
      <c r="R2257" s="3" t="s">
        <v>28</v>
      </c>
      <c r="S2257" s="3" t="s">
        <v>29</v>
      </c>
      <c r="T2257" s="5">
        <v>1460.28</v>
      </c>
      <c r="U2257" s="3">
        <v>629.66999999999996</v>
      </c>
      <c r="V2257" s="3">
        <v>581.48</v>
      </c>
      <c r="W2257" s="3">
        <v>249.13</v>
      </c>
    </row>
    <row r="2258" spans="1:23" ht="60.75">
      <c r="A2258" s="3" t="s">
        <v>23</v>
      </c>
      <c r="B2258" s="3" t="s">
        <v>24</v>
      </c>
      <c r="C2258" s="3" t="s">
        <v>35</v>
      </c>
      <c r="D2258" s="3" t="s">
        <v>39</v>
      </c>
      <c r="E2258" s="3" t="s">
        <v>32</v>
      </c>
      <c r="F2258" s="3" t="s">
        <v>69</v>
      </c>
      <c r="G2258" s="3">
        <v>2016</v>
      </c>
      <c r="H2258" s="3" t="str">
        <f>CONCATENATE("64240502837")</f>
        <v>64240502837</v>
      </c>
      <c r="I2258" s="3" t="s">
        <v>25</v>
      </c>
      <c r="J2258" s="3" t="s">
        <v>26</v>
      </c>
      <c r="K2258" s="3" t="str">
        <f t="shared" ref="K2258:K2321" si="70">CONCATENATE("")</f>
        <v/>
      </c>
      <c r="L2258" s="3" t="str">
        <f t="shared" ref="L2258:L2266" si="71">CONCATENATE("11 11.2 4b")</f>
        <v>11 11.2 4b</v>
      </c>
      <c r="M2258" s="3" t="str">
        <f>CONCATENATE("LRNLNZ61B21C100O")</f>
        <v>LRNLNZ61B21C100O</v>
      </c>
      <c r="N2258" s="3" t="s">
        <v>2222</v>
      </c>
      <c r="O2258" s="3"/>
      <c r="P2258" s="4">
        <v>42783</v>
      </c>
      <c r="Q2258" s="3" t="s">
        <v>27</v>
      </c>
      <c r="R2258" s="3" t="s">
        <v>28</v>
      </c>
      <c r="S2258" s="3" t="s">
        <v>29</v>
      </c>
      <c r="T2258" s="3">
        <v>576.72</v>
      </c>
      <c r="U2258" s="3">
        <v>248.68</v>
      </c>
      <c r="V2258" s="3">
        <v>229.65</v>
      </c>
      <c r="W2258" s="3">
        <v>98.39</v>
      </c>
    </row>
    <row r="2259" spans="1:23" ht="36.75">
      <c r="A2259" s="3" t="s">
        <v>23</v>
      </c>
      <c r="B2259" s="3" t="s">
        <v>24</v>
      </c>
      <c r="C2259" s="3" t="s">
        <v>35</v>
      </c>
      <c r="D2259" s="3" t="s">
        <v>43</v>
      </c>
      <c r="E2259" s="3" t="s">
        <v>33</v>
      </c>
      <c r="F2259" s="3" t="s">
        <v>46</v>
      </c>
      <c r="G2259" s="3">
        <v>2016</v>
      </c>
      <c r="H2259" s="3" t="str">
        <f>CONCATENATE("64240771564")</f>
        <v>64240771564</v>
      </c>
      <c r="I2259" s="3" t="s">
        <v>25</v>
      </c>
      <c r="J2259" s="3" t="s">
        <v>26</v>
      </c>
      <c r="K2259" s="3" t="str">
        <f t="shared" si="70"/>
        <v/>
      </c>
      <c r="L2259" s="3" t="str">
        <f t="shared" si="71"/>
        <v>11 11.2 4b</v>
      </c>
      <c r="M2259" s="3" t="str">
        <f>CONCATENATE("02546130416")</f>
        <v>02546130416</v>
      </c>
      <c r="N2259" s="3" t="s">
        <v>2223</v>
      </c>
      <c r="O2259" s="3"/>
      <c r="P2259" s="4">
        <v>42783</v>
      </c>
      <c r="Q2259" s="3" t="s">
        <v>27</v>
      </c>
      <c r="R2259" s="3" t="s">
        <v>28</v>
      </c>
      <c r="S2259" s="3" t="s">
        <v>29</v>
      </c>
      <c r="T2259" s="5">
        <v>2820.24</v>
      </c>
      <c r="U2259" s="5">
        <v>1216.0899999999999</v>
      </c>
      <c r="V2259" s="5">
        <v>1123.02</v>
      </c>
      <c r="W2259" s="3">
        <v>481.13</v>
      </c>
    </row>
    <row r="2260" spans="1:23" ht="36.75">
      <c r="A2260" s="3" t="s">
        <v>23</v>
      </c>
      <c r="B2260" s="3" t="s">
        <v>24</v>
      </c>
      <c r="C2260" s="3" t="s">
        <v>35</v>
      </c>
      <c r="D2260" s="3" t="s">
        <v>36</v>
      </c>
      <c r="E2260" s="3" t="s">
        <v>59</v>
      </c>
      <c r="F2260" s="3" t="s">
        <v>62</v>
      </c>
      <c r="G2260" s="3">
        <v>2016</v>
      </c>
      <c r="H2260" s="3" t="str">
        <f>CONCATENATE("64240310090")</f>
        <v>64240310090</v>
      </c>
      <c r="I2260" s="3" t="s">
        <v>25</v>
      </c>
      <c r="J2260" s="3" t="s">
        <v>26</v>
      </c>
      <c r="K2260" s="3" t="str">
        <f t="shared" si="70"/>
        <v/>
      </c>
      <c r="L2260" s="3" t="str">
        <f t="shared" si="71"/>
        <v>11 11.2 4b</v>
      </c>
      <c r="M2260" s="3" t="str">
        <f>CONCATENATE("02271400448")</f>
        <v>02271400448</v>
      </c>
      <c r="N2260" s="3" t="s">
        <v>2224</v>
      </c>
      <c r="O2260" s="3"/>
      <c r="P2260" s="4">
        <v>42783</v>
      </c>
      <c r="Q2260" s="3" t="s">
        <v>27</v>
      </c>
      <c r="R2260" s="3" t="s">
        <v>28</v>
      </c>
      <c r="S2260" s="3" t="s">
        <v>29</v>
      </c>
      <c r="T2260" s="5">
        <v>7768</v>
      </c>
      <c r="U2260" s="5">
        <v>3349.56</v>
      </c>
      <c r="V2260" s="5">
        <v>3093.22</v>
      </c>
      <c r="W2260" s="5">
        <v>1325.22</v>
      </c>
    </row>
    <row r="2261" spans="1:23" ht="36.75">
      <c r="A2261" s="3" t="s">
        <v>23</v>
      </c>
      <c r="B2261" s="3" t="s">
        <v>24</v>
      </c>
      <c r="C2261" s="3" t="s">
        <v>35</v>
      </c>
      <c r="D2261" s="3" t="s">
        <v>39</v>
      </c>
      <c r="E2261" s="3" t="s">
        <v>32</v>
      </c>
      <c r="F2261" s="3" t="s">
        <v>117</v>
      </c>
      <c r="G2261" s="3">
        <v>2016</v>
      </c>
      <c r="H2261" s="3" t="str">
        <f>CONCATENATE("64240485405")</f>
        <v>64240485405</v>
      </c>
      <c r="I2261" s="3" t="s">
        <v>25</v>
      </c>
      <c r="J2261" s="3" t="s">
        <v>26</v>
      </c>
      <c r="K2261" s="3" t="str">
        <f t="shared" si="70"/>
        <v/>
      </c>
      <c r="L2261" s="3" t="str">
        <f t="shared" si="71"/>
        <v>11 11.2 4b</v>
      </c>
      <c r="M2261" s="3" t="str">
        <f>CONCATENATE("02578620425")</f>
        <v>02578620425</v>
      </c>
      <c r="N2261" s="3" t="s">
        <v>2225</v>
      </c>
      <c r="O2261" s="3"/>
      <c r="P2261" s="4">
        <v>42783</v>
      </c>
      <c r="Q2261" s="3" t="s">
        <v>27</v>
      </c>
      <c r="R2261" s="3" t="s">
        <v>28</v>
      </c>
      <c r="S2261" s="3" t="s">
        <v>29</v>
      </c>
      <c r="T2261" s="3">
        <v>667.62</v>
      </c>
      <c r="U2261" s="3">
        <v>287.88</v>
      </c>
      <c r="V2261" s="3">
        <v>265.85000000000002</v>
      </c>
      <c r="W2261" s="3">
        <v>113.89</v>
      </c>
    </row>
    <row r="2262" spans="1:23" ht="60.75">
      <c r="A2262" s="3" t="s">
        <v>23</v>
      </c>
      <c r="B2262" s="3" t="s">
        <v>24</v>
      </c>
      <c r="C2262" s="3" t="s">
        <v>35</v>
      </c>
      <c r="D2262" s="3" t="s">
        <v>39</v>
      </c>
      <c r="E2262" s="3" t="s">
        <v>30</v>
      </c>
      <c r="F2262" s="3" t="s">
        <v>84</v>
      </c>
      <c r="G2262" s="3">
        <v>2016</v>
      </c>
      <c r="H2262" s="3" t="str">
        <f>CONCATENATE("64240244695")</f>
        <v>64240244695</v>
      </c>
      <c r="I2262" s="3" t="s">
        <v>25</v>
      </c>
      <c r="J2262" s="3" t="s">
        <v>26</v>
      </c>
      <c r="K2262" s="3" t="str">
        <f t="shared" si="70"/>
        <v/>
      </c>
      <c r="L2262" s="3" t="str">
        <f t="shared" si="71"/>
        <v>11 11.2 4b</v>
      </c>
      <c r="M2262" s="3" t="str">
        <f>CONCATENATE("DNGPLA63L25D451E")</f>
        <v>DNGPLA63L25D451E</v>
      </c>
      <c r="N2262" s="3" t="s">
        <v>1187</v>
      </c>
      <c r="O2262" s="3"/>
      <c r="P2262" s="4">
        <v>42783</v>
      </c>
      <c r="Q2262" s="3" t="s">
        <v>27</v>
      </c>
      <c r="R2262" s="3" t="s">
        <v>28</v>
      </c>
      <c r="S2262" s="3" t="s">
        <v>29</v>
      </c>
      <c r="T2262" s="5">
        <v>13250.82</v>
      </c>
      <c r="U2262" s="5">
        <v>5713.75</v>
      </c>
      <c r="V2262" s="5">
        <v>5276.48</v>
      </c>
      <c r="W2262" s="5">
        <v>2260.59</v>
      </c>
    </row>
    <row r="2263" spans="1:23" ht="60.75">
      <c r="A2263" s="3" t="s">
        <v>23</v>
      </c>
      <c r="B2263" s="3" t="s">
        <v>24</v>
      </c>
      <c r="C2263" s="3" t="s">
        <v>35</v>
      </c>
      <c r="D2263" s="3" t="s">
        <v>48</v>
      </c>
      <c r="E2263" s="3" t="s">
        <v>30</v>
      </c>
      <c r="F2263" s="3" t="s">
        <v>91</v>
      </c>
      <c r="G2263" s="3">
        <v>2016</v>
      </c>
      <c r="H2263" s="3" t="str">
        <f>CONCATENATE("64240317285")</f>
        <v>64240317285</v>
      </c>
      <c r="I2263" s="3" t="s">
        <v>25</v>
      </c>
      <c r="J2263" s="3" t="s">
        <v>26</v>
      </c>
      <c r="K2263" s="3" t="str">
        <f t="shared" si="70"/>
        <v/>
      </c>
      <c r="L2263" s="3" t="str">
        <f t="shared" si="71"/>
        <v>11 11.2 4b</v>
      </c>
      <c r="M2263" s="3" t="str">
        <f>CONCATENATE("MRCDNC62C09D564J")</f>
        <v>MRCDNC62C09D564J</v>
      </c>
      <c r="N2263" s="3" t="s">
        <v>2226</v>
      </c>
      <c r="O2263" s="3"/>
      <c r="P2263" s="4">
        <v>42783</v>
      </c>
      <c r="Q2263" s="3" t="s">
        <v>27</v>
      </c>
      <c r="R2263" s="3" t="s">
        <v>28</v>
      </c>
      <c r="S2263" s="3" t="s">
        <v>29</v>
      </c>
      <c r="T2263" s="5">
        <v>1406.32</v>
      </c>
      <c r="U2263" s="3">
        <v>606.41</v>
      </c>
      <c r="V2263" s="3">
        <v>560</v>
      </c>
      <c r="W2263" s="3">
        <v>239.91</v>
      </c>
    </row>
    <row r="2264" spans="1:23" ht="36.75">
      <c r="A2264" s="3" t="s">
        <v>23</v>
      </c>
      <c r="B2264" s="3" t="s">
        <v>24</v>
      </c>
      <c r="C2264" s="3" t="s">
        <v>35</v>
      </c>
      <c r="D2264" s="3" t="s">
        <v>43</v>
      </c>
      <c r="E2264" s="3" t="s">
        <v>30</v>
      </c>
      <c r="F2264" s="3" t="s">
        <v>131</v>
      </c>
      <c r="G2264" s="3">
        <v>2016</v>
      </c>
      <c r="H2264" s="3" t="str">
        <f>CONCATENATE("64240747341")</f>
        <v>64240747341</v>
      </c>
      <c r="I2264" s="3" t="s">
        <v>25</v>
      </c>
      <c r="J2264" s="3" t="s">
        <v>26</v>
      </c>
      <c r="K2264" s="3" t="str">
        <f t="shared" si="70"/>
        <v/>
      </c>
      <c r="L2264" s="3" t="str">
        <f t="shared" si="71"/>
        <v>11 11.2 4b</v>
      </c>
      <c r="M2264" s="3" t="str">
        <f>CONCATENATE("00647890417")</f>
        <v>00647890417</v>
      </c>
      <c r="N2264" s="3" t="s">
        <v>2227</v>
      </c>
      <c r="O2264" s="3"/>
      <c r="P2264" s="4">
        <v>42783</v>
      </c>
      <c r="Q2264" s="3" t="s">
        <v>27</v>
      </c>
      <c r="R2264" s="3" t="s">
        <v>28</v>
      </c>
      <c r="S2264" s="3" t="s">
        <v>29</v>
      </c>
      <c r="T2264" s="5">
        <v>14296.5</v>
      </c>
      <c r="U2264" s="5">
        <v>6164.65</v>
      </c>
      <c r="V2264" s="5">
        <v>5692.87</v>
      </c>
      <c r="W2264" s="5">
        <v>2438.98</v>
      </c>
    </row>
    <row r="2265" spans="1:23" ht="60.75">
      <c r="A2265" s="3" t="s">
        <v>23</v>
      </c>
      <c r="B2265" s="3" t="s">
        <v>24</v>
      </c>
      <c r="C2265" s="3" t="s">
        <v>35</v>
      </c>
      <c r="D2265" s="3" t="s">
        <v>43</v>
      </c>
      <c r="E2265" s="3" t="s">
        <v>49</v>
      </c>
      <c r="F2265" s="3" t="s">
        <v>139</v>
      </c>
      <c r="G2265" s="3">
        <v>2016</v>
      </c>
      <c r="H2265" s="3" t="str">
        <f>CONCATENATE("64240405429")</f>
        <v>64240405429</v>
      </c>
      <c r="I2265" s="3" t="s">
        <v>25</v>
      </c>
      <c r="J2265" s="3" t="s">
        <v>26</v>
      </c>
      <c r="K2265" s="3" t="str">
        <f t="shared" si="70"/>
        <v/>
      </c>
      <c r="L2265" s="3" t="str">
        <f t="shared" si="71"/>
        <v>11 11.2 4b</v>
      </c>
      <c r="M2265" s="3" t="str">
        <f>CONCATENATE("GMBGRT92L70L500Q")</f>
        <v>GMBGRT92L70L500Q</v>
      </c>
      <c r="N2265" s="3" t="s">
        <v>2228</v>
      </c>
      <c r="O2265" s="3"/>
      <c r="P2265" s="4">
        <v>42783</v>
      </c>
      <c r="Q2265" s="3" t="s">
        <v>27</v>
      </c>
      <c r="R2265" s="3" t="s">
        <v>28</v>
      </c>
      <c r="S2265" s="3" t="s">
        <v>29</v>
      </c>
      <c r="T2265" s="5">
        <v>53709.91</v>
      </c>
      <c r="U2265" s="5">
        <v>23159.71</v>
      </c>
      <c r="V2265" s="5">
        <v>21387.29</v>
      </c>
      <c r="W2265" s="5">
        <v>9162.91</v>
      </c>
    </row>
    <row r="2266" spans="1:23" ht="60.75">
      <c r="A2266" s="3" t="s">
        <v>23</v>
      </c>
      <c r="B2266" s="3" t="s">
        <v>24</v>
      </c>
      <c r="C2266" s="3" t="s">
        <v>35</v>
      </c>
      <c r="D2266" s="3" t="s">
        <v>43</v>
      </c>
      <c r="E2266" s="3" t="s">
        <v>30</v>
      </c>
      <c r="F2266" s="3" t="s">
        <v>131</v>
      </c>
      <c r="G2266" s="3">
        <v>2016</v>
      </c>
      <c r="H2266" s="3" t="str">
        <f>CONCATENATE("64240427431")</f>
        <v>64240427431</v>
      </c>
      <c r="I2266" s="3" t="s">
        <v>25</v>
      </c>
      <c r="J2266" s="3" t="s">
        <v>26</v>
      </c>
      <c r="K2266" s="3" t="str">
        <f t="shared" si="70"/>
        <v/>
      </c>
      <c r="L2266" s="3" t="str">
        <f t="shared" si="71"/>
        <v>11 11.2 4b</v>
      </c>
      <c r="M2266" s="3" t="str">
        <f>CONCATENATE("BLLBRN46D14F137Q")</f>
        <v>BLLBRN46D14F137Q</v>
      </c>
      <c r="N2266" s="3" t="s">
        <v>2229</v>
      </c>
      <c r="O2266" s="3"/>
      <c r="P2266" s="4">
        <v>42783</v>
      </c>
      <c r="Q2266" s="3" t="s">
        <v>27</v>
      </c>
      <c r="R2266" s="3" t="s">
        <v>28</v>
      </c>
      <c r="S2266" s="3" t="s">
        <v>29</v>
      </c>
      <c r="T2266" s="3">
        <v>445.01</v>
      </c>
      <c r="U2266" s="3">
        <v>191.89</v>
      </c>
      <c r="V2266" s="3">
        <v>177.2</v>
      </c>
      <c r="W2266" s="3">
        <v>75.92</v>
      </c>
    </row>
    <row r="2267" spans="1:23" ht="36.75">
      <c r="A2267" s="3" t="s">
        <v>23</v>
      </c>
      <c r="B2267" s="3" t="s">
        <v>24</v>
      </c>
      <c r="C2267" s="3" t="s">
        <v>35</v>
      </c>
      <c r="D2267" s="3" t="s">
        <v>43</v>
      </c>
      <c r="E2267" s="3" t="s">
        <v>30</v>
      </c>
      <c r="F2267" s="3" t="s">
        <v>124</v>
      </c>
      <c r="G2267" s="3">
        <v>2016</v>
      </c>
      <c r="H2267" s="3" t="str">
        <f>CONCATENATE("64210912891")</f>
        <v>64210912891</v>
      </c>
      <c r="I2267" s="3" t="s">
        <v>25</v>
      </c>
      <c r="J2267" s="3" t="s">
        <v>26</v>
      </c>
      <c r="K2267" s="3" t="str">
        <f t="shared" si="70"/>
        <v/>
      </c>
      <c r="L2267" s="3" t="str">
        <f>CONCATENATE("13 13.1 4a")</f>
        <v>13 13.1 4a</v>
      </c>
      <c r="M2267" s="3" t="str">
        <f>CONCATENATE("01382630414")</f>
        <v>01382630414</v>
      </c>
      <c r="N2267" s="3" t="s">
        <v>2230</v>
      </c>
      <c r="O2267" s="3"/>
      <c r="P2267" s="4">
        <v>42783</v>
      </c>
      <c r="Q2267" s="3" t="s">
        <v>27</v>
      </c>
      <c r="R2267" s="3" t="s">
        <v>28</v>
      </c>
      <c r="S2267" s="3" t="s">
        <v>29</v>
      </c>
      <c r="T2267" s="5">
        <v>4544.1000000000004</v>
      </c>
      <c r="U2267" s="5">
        <v>1959.42</v>
      </c>
      <c r="V2267" s="5">
        <v>1809.46</v>
      </c>
      <c r="W2267" s="3">
        <v>775.22</v>
      </c>
    </row>
    <row r="2268" spans="1:23" ht="60.75">
      <c r="A2268" s="3" t="s">
        <v>23</v>
      </c>
      <c r="B2268" s="3" t="s">
        <v>24</v>
      </c>
      <c r="C2268" s="3" t="s">
        <v>35</v>
      </c>
      <c r="D2268" s="3" t="s">
        <v>48</v>
      </c>
      <c r="E2268" s="3" t="s">
        <v>42</v>
      </c>
      <c r="F2268" s="3" t="s">
        <v>42</v>
      </c>
      <c r="G2268" s="3">
        <v>2016</v>
      </c>
      <c r="H2268" s="3" t="str">
        <f>CONCATENATE("64240537940")</f>
        <v>64240537940</v>
      </c>
      <c r="I2268" s="3" t="s">
        <v>25</v>
      </c>
      <c r="J2268" s="3" t="s">
        <v>26</v>
      </c>
      <c r="K2268" s="3" t="str">
        <f t="shared" si="70"/>
        <v/>
      </c>
      <c r="L2268" s="3" t="str">
        <f>CONCATENATE("11 11.2 4b")</f>
        <v>11 11.2 4b</v>
      </c>
      <c r="M2268" s="3" t="str">
        <f>CONCATENATE("BSLMRA61L17B474C")</f>
        <v>BSLMRA61L17B474C</v>
      </c>
      <c r="N2268" s="3" t="s">
        <v>2231</v>
      </c>
      <c r="O2268" s="3"/>
      <c r="P2268" s="4">
        <v>42783</v>
      </c>
      <c r="Q2268" s="3" t="s">
        <v>27</v>
      </c>
      <c r="R2268" s="3" t="s">
        <v>28</v>
      </c>
      <c r="S2268" s="3" t="s">
        <v>29</v>
      </c>
      <c r="T2268" s="3">
        <v>152.78</v>
      </c>
      <c r="U2268" s="3">
        <v>65.88</v>
      </c>
      <c r="V2268" s="3">
        <v>60.84</v>
      </c>
      <c r="W2268" s="3">
        <v>26.06</v>
      </c>
    </row>
    <row r="2269" spans="1:23" ht="36.75">
      <c r="A2269" s="3" t="s">
        <v>23</v>
      </c>
      <c r="B2269" s="3" t="s">
        <v>24</v>
      </c>
      <c r="C2269" s="3" t="s">
        <v>35</v>
      </c>
      <c r="D2269" s="3" t="s">
        <v>43</v>
      </c>
      <c r="E2269" s="3" t="s">
        <v>49</v>
      </c>
      <c r="F2269" s="3" t="s">
        <v>139</v>
      </c>
      <c r="G2269" s="3">
        <v>2016</v>
      </c>
      <c r="H2269" s="3" t="str">
        <f>CONCATENATE("64240607958")</f>
        <v>64240607958</v>
      </c>
      <c r="I2269" s="3" t="s">
        <v>25</v>
      </c>
      <c r="J2269" s="3" t="s">
        <v>26</v>
      </c>
      <c r="K2269" s="3" t="str">
        <f t="shared" si="70"/>
        <v/>
      </c>
      <c r="L2269" s="3" t="str">
        <f>CONCATENATE("11 11.2 4b")</f>
        <v>11 11.2 4b</v>
      </c>
      <c r="M2269" s="3" t="str">
        <f>CONCATENATE("00449670413")</f>
        <v>00449670413</v>
      </c>
      <c r="N2269" s="3" t="s">
        <v>2232</v>
      </c>
      <c r="O2269" s="3"/>
      <c r="P2269" s="4">
        <v>42783</v>
      </c>
      <c r="Q2269" s="3" t="s">
        <v>27</v>
      </c>
      <c r="R2269" s="3" t="s">
        <v>28</v>
      </c>
      <c r="S2269" s="3" t="s">
        <v>29</v>
      </c>
      <c r="T2269" s="5">
        <v>26238.3</v>
      </c>
      <c r="U2269" s="5">
        <v>11313.95</v>
      </c>
      <c r="V2269" s="5">
        <v>10448.09</v>
      </c>
      <c r="W2269" s="5">
        <v>4476.26</v>
      </c>
    </row>
    <row r="2270" spans="1:23" ht="60.75">
      <c r="A2270" s="3" t="s">
        <v>23</v>
      </c>
      <c r="B2270" s="3" t="s">
        <v>24</v>
      </c>
      <c r="C2270" s="3" t="s">
        <v>35</v>
      </c>
      <c r="D2270" s="3" t="s">
        <v>48</v>
      </c>
      <c r="E2270" s="3" t="s">
        <v>33</v>
      </c>
      <c r="F2270" s="3" t="s">
        <v>160</v>
      </c>
      <c r="G2270" s="3">
        <v>2016</v>
      </c>
      <c r="H2270" s="3" t="str">
        <f>CONCATENATE("64240623435")</f>
        <v>64240623435</v>
      </c>
      <c r="I2270" s="3" t="s">
        <v>25</v>
      </c>
      <c r="J2270" s="3" t="s">
        <v>26</v>
      </c>
      <c r="K2270" s="3" t="str">
        <f t="shared" si="70"/>
        <v/>
      </c>
      <c r="L2270" s="3" t="str">
        <f>CONCATENATE("11 11.2 4b")</f>
        <v>11 11.2 4b</v>
      </c>
      <c r="M2270" s="3" t="str">
        <f>CONCATENATE("PSSNDR68T07L191O")</f>
        <v>PSSNDR68T07L191O</v>
      </c>
      <c r="N2270" s="3" t="s">
        <v>2233</v>
      </c>
      <c r="O2270" s="3"/>
      <c r="P2270" s="4">
        <v>42783</v>
      </c>
      <c r="Q2270" s="3" t="s">
        <v>27</v>
      </c>
      <c r="R2270" s="3" t="s">
        <v>28</v>
      </c>
      <c r="S2270" s="3" t="s">
        <v>29</v>
      </c>
      <c r="T2270" s="5">
        <v>23320.81</v>
      </c>
      <c r="U2270" s="5">
        <v>10055.93</v>
      </c>
      <c r="V2270" s="5">
        <v>9286.35</v>
      </c>
      <c r="W2270" s="5">
        <v>3978.53</v>
      </c>
    </row>
    <row r="2271" spans="1:23" ht="36.75">
      <c r="A2271" s="3" t="s">
        <v>23</v>
      </c>
      <c r="B2271" s="3" t="s">
        <v>24</v>
      </c>
      <c r="C2271" s="3" t="s">
        <v>35</v>
      </c>
      <c r="D2271" s="3" t="s">
        <v>43</v>
      </c>
      <c r="E2271" s="3" t="s">
        <v>49</v>
      </c>
      <c r="F2271" s="3" t="s">
        <v>276</v>
      </c>
      <c r="G2271" s="3">
        <v>2016</v>
      </c>
      <c r="H2271" s="3" t="str">
        <f>CONCATENATE("64240315651")</f>
        <v>64240315651</v>
      </c>
      <c r="I2271" s="3" t="s">
        <v>25</v>
      </c>
      <c r="J2271" s="3" t="s">
        <v>26</v>
      </c>
      <c r="K2271" s="3" t="str">
        <f t="shared" si="70"/>
        <v/>
      </c>
      <c r="L2271" s="3" t="str">
        <f>CONCATENATE("11 11.1 4b")</f>
        <v>11 11.1 4b</v>
      </c>
      <c r="M2271" s="3" t="str">
        <f>CONCATENATE("02599320419")</f>
        <v>02599320419</v>
      </c>
      <c r="N2271" s="3" t="s">
        <v>2234</v>
      </c>
      <c r="O2271" s="3"/>
      <c r="P2271" s="4">
        <v>42783</v>
      </c>
      <c r="Q2271" s="3" t="s">
        <v>27</v>
      </c>
      <c r="R2271" s="3" t="s">
        <v>28</v>
      </c>
      <c r="S2271" s="3" t="s">
        <v>29</v>
      </c>
      <c r="T2271" s="5">
        <v>4079.11</v>
      </c>
      <c r="U2271" s="5">
        <v>1758.91</v>
      </c>
      <c r="V2271" s="5">
        <v>1624.3</v>
      </c>
      <c r="W2271" s="3">
        <v>695.9</v>
      </c>
    </row>
    <row r="2272" spans="1:23" ht="60.75">
      <c r="A2272" s="3" t="s">
        <v>23</v>
      </c>
      <c r="B2272" s="3" t="s">
        <v>24</v>
      </c>
      <c r="C2272" s="3" t="s">
        <v>35</v>
      </c>
      <c r="D2272" s="3" t="s">
        <v>43</v>
      </c>
      <c r="E2272" s="3" t="s">
        <v>32</v>
      </c>
      <c r="F2272" s="3" t="s">
        <v>78</v>
      </c>
      <c r="G2272" s="3">
        <v>2016</v>
      </c>
      <c r="H2272" s="3" t="str">
        <f>CONCATENATE("64240423802")</f>
        <v>64240423802</v>
      </c>
      <c r="I2272" s="3" t="s">
        <v>25</v>
      </c>
      <c r="J2272" s="3" t="s">
        <v>26</v>
      </c>
      <c r="K2272" s="3" t="str">
        <f t="shared" si="70"/>
        <v/>
      </c>
      <c r="L2272" s="3" t="str">
        <f>CONCATENATE("11 11.1 4b")</f>
        <v>11 11.1 4b</v>
      </c>
      <c r="M2272" s="3" t="str">
        <f>CONCATENATE("PCSMNL78B08L500Z")</f>
        <v>PCSMNL78B08L500Z</v>
      </c>
      <c r="N2272" s="3" t="s">
        <v>2235</v>
      </c>
      <c r="O2272" s="3"/>
      <c r="P2272" s="4">
        <v>42783</v>
      </c>
      <c r="Q2272" s="3" t="s">
        <v>27</v>
      </c>
      <c r="R2272" s="3" t="s">
        <v>28</v>
      </c>
      <c r="S2272" s="3" t="s">
        <v>29</v>
      </c>
      <c r="T2272" s="5">
        <v>4040.59</v>
      </c>
      <c r="U2272" s="5">
        <v>1742.3</v>
      </c>
      <c r="V2272" s="5">
        <v>1608.96</v>
      </c>
      <c r="W2272" s="3">
        <v>689.33</v>
      </c>
    </row>
    <row r="2273" spans="1:23" ht="36.75">
      <c r="A2273" s="3" t="s">
        <v>23</v>
      </c>
      <c r="B2273" s="3" t="s">
        <v>24</v>
      </c>
      <c r="C2273" s="3" t="s">
        <v>35</v>
      </c>
      <c r="D2273" s="3" t="s">
        <v>36</v>
      </c>
      <c r="E2273" s="3" t="s">
        <v>30</v>
      </c>
      <c r="F2273" s="3" t="s">
        <v>37</v>
      </c>
      <c r="G2273" s="3">
        <v>2016</v>
      </c>
      <c r="H2273" s="3" t="str">
        <f>CONCATENATE("64240854071")</f>
        <v>64240854071</v>
      </c>
      <c r="I2273" s="3" t="s">
        <v>25</v>
      </c>
      <c r="J2273" s="3" t="s">
        <v>26</v>
      </c>
      <c r="K2273" s="3" t="str">
        <f t="shared" si="70"/>
        <v/>
      </c>
      <c r="L2273" s="3" t="str">
        <f>CONCATENATE("11 11.1 4b")</f>
        <v>11 11.1 4b</v>
      </c>
      <c r="M2273" s="3" t="str">
        <f>CONCATENATE("02165220449")</f>
        <v>02165220449</v>
      </c>
      <c r="N2273" s="3" t="s">
        <v>2236</v>
      </c>
      <c r="O2273" s="3"/>
      <c r="P2273" s="4">
        <v>42783</v>
      </c>
      <c r="Q2273" s="3" t="s">
        <v>27</v>
      </c>
      <c r="R2273" s="3" t="s">
        <v>28</v>
      </c>
      <c r="S2273" s="3" t="s">
        <v>29</v>
      </c>
      <c r="T2273" s="5">
        <v>3559.67</v>
      </c>
      <c r="U2273" s="5">
        <v>1534.93</v>
      </c>
      <c r="V2273" s="5">
        <v>1417.46</v>
      </c>
      <c r="W2273" s="3">
        <v>607.28</v>
      </c>
    </row>
    <row r="2274" spans="1:23" ht="60.75">
      <c r="A2274" s="3" t="s">
        <v>23</v>
      </c>
      <c r="B2274" s="3" t="s">
        <v>24</v>
      </c>
      <c r="C2274" s="3" t="s">
        <v>35</v>
      </c>
      <c r="D2274" s="3" t="s">
        <v>43</v>
      </c>
      <c r="E2274" s="3" t="s">
        <v>30</v>
      </c>
      <c r="F2274" s="3" t="s">
        <v>131</v>
      </c>
      <c r="G2274" s="3">
        <v>2016</v>
      </c>
      <c r="H2274" s="3" t="str">
        <f>CONCATENATE("64240459913")</f>
        <v>64240459913</v>
      </c>
      <c r="I2274" s="3" t="s">
        <v>25</v>
      </c>
      <c r="J2274" s="3" t="s">
        <v>26</v>
      </c>
      <c r="K2274" s="3" t="str">
        <f t="shared" si="70"/>
        <v/>
      </c>
      <c r="L2274" s="3" t="str">
        <f>CONCATENATE("11 11.2 4b")</f>
        <v>11 11.2 4b</v>
      </c>
      <c r="M2274" s="3" t="str">
        <f>CONCATENATE("CCCPLA67R27D488P")</f>
        <v>CCCPLA67R27D488P</v>
      </c>
      <c r="N2274" s="3" t="s">
        <v>1923</v>
      </c>
      <c r="O2274" s="3"/>
      <c r="P2274" s="4">
        <v>42783</v>
      </c>
      <c r="Q2274" s="3" t="s">
        <v>27</v>
      </c>
      <c r="R2274" s="3" t="s">
        <v>28</v>
      </c>
      <c r="S2274" s="3" t="s">
        <v>29</v>
      </c>
      <c r="T2274" s="5">
        <v>8294.59</v>
      </c>
      <c r="U2274" s="5">
        <v>3576.63</v>
      </c>
      <c r="V2274" s="5">
        <v>3302.91</v>
      </c>
      <c r="W2274" s="5">
        <v>1415.05</v>
      </c>
    </row>
    <row r="2275" spans="1:23" ht="36.75">
      <c r="A2275" s="3" t="s">
        <v>23</v>
      </c>
      <c r="B2275" s="3" t="s">
        <v>24</v>
      </c>
      <c r="C2275" s="3" t="s">
        <v>35</v>
      </c>
      <c r="D2275" s="3" t="s">
        <v>48</v>
      </c>
      <c r="E2275" s="3" t="s">
        <v>30</v>
      </c>
      <c r="F2275" s="3" t="s">
        <v>91</v>
      </c>
      <c r="G2275" s="3">
        <v>2016</v>
      </c>
      <c r="H2275" s="3" t="str">
        <f>CONCATENATE("64210547812")</f>
        <v>64210547812</v>
      </c>
      <c r="I2275" s="3" t="s">
        <v>25</v>
      </c>
      <c r="J2275" s="3" t="s">
        <v>26</v>
      </c>
      <c r="K2275" s="3" t="str">
        <f t="shared" si="70"/>
        <v/>
      </c>
      <c r="L2275" s="3" t="str">
        <f>CONCATENATE("13 13.1 4a")</f>
        <v>13 13.1 4a</v>
      </c>
      <c r="M2275" s="3" t="str">
        <f>CONCATENATE("01909630434")</f>
        <v>01909630434</v>
      </c>
      <c r="N2275" s="3" t="s">
        <v>2189</v>
      </c>
      <c r="O2275" s="3"/>
      <c r="P2275" s="4">
        <v>42783</v>
      </c>
      <c r="Q2275" s="3" t="s">
        <v>27</v>
      </c>
      <c r="R2275" s="3" t="s">
        <v>28</v>
      </c>
      <c r="S2275" s="3" t="s">
        <v>29</v>
      </c>
      <c r="T2275" s="5">
        <v>1298.6099999999999</v>
      </c>
      <c r="U2275" s="3">
        <v>559.96</v>
      </c>
      <c r="V2275" s="3">
        <v>517.11</v>
      </c>
      <c r="W2275" s="3">
        <v>221.54</v>
      </c>
    </row>
    <row r="2276" spans="1:23" ht="60.75">
      <c r="A2276" s="3" t="s">
        <v>23</v>
      </c>
      <c r="B2276" s="3" t="s">
        <v>24</v>
      </c>
      <c r="C2276" s="3" t="s">
        <v>35</v>
      </c>
      <c r="D2276" s="3" t="s">
        <v>48</v>
      </c>
      <c r="E2276" s="3" t="s">
        <v>30</v>
      </c>
      <c r="F2276" s="3" t="s">
        <v>91</v>
      </c>
      <c r="G2276" s="3">
        <v>2016</v>
      </c>
      <c r="H2276" s="3" t="str">
        <f>CONCATENATE("64210511966")</f>
        <v>64210511966</v>
      </c>
      <c r="I2276" s="3" t="s">
        <v>25</v>
      </c>
      <c r="J2276" s="3" t="s">
        <v>26</v>
      </c>
      <c r="K2276" s="3" t="str">
        <f t="shared" si="70"/>
        <v/>
      </c>
      <c r="L2276" s="3" t="str">
        <f>CONCATENATE("13 13.1 4a")</f>
        <v>13 13.1 4a</v>
      </c>
      <c r="M2276" s="3" t="str">
        <f>CONCATENATE("CNCGNN56S16I661I")</f>
        <v>CNCGNN56S16I661I</v>
      </c>
      <c r="N2276" s="3" t="s">
        <v>2237</v>
      </c>
      <c r="O2276" s="3"/>
      <c r="P2276" s="4">
        <v>42783</v>
      </c>
      <c r="Q2276" s="3" t="s">
        <v>27</v>
      </c>
      <c r="R2276" s="3" t="s">
        <v>28</v>
      </c>
      <c r="S2276" s="3" t="s">
        <v>29</v>
      </c>
      <c r="T2276" s="5">
        <v>3568.54</v>
      </c>
      <c r="U2276" s="5">
        <v>1538.75</v>
      </c>
      <c r="V2276" s="5">
        <v>1420.99</v>
      </c>
      <c r="W2276" s="3">
        <v>608.79999999999995</v>
      </c>
    </row>
    <row r="2277" spans="1:23" ht="36.75">
      <c r="A2277" s="3" t="s">
        <v>23</v>
      </c>
      <c r="B2277" s="3" t="s">
        <v>24</v>
      </c>
      <c r="C2277" s="3" t="s">
        <v>35</v>
      </c>
      <c r="D2277" s="3" t="s">
        <v>36</v>
      </c>
      <c r="E2277" s="3" t="s">
        <v>42</v>
      </c>
      <c r="F2277" s="3" t="s">
        <v>42</v>
      </c>
      <c r="G2277" s="3">
        <v>2016</v>
      </c>
      <c r="H2277" s="3" t="str">
        <f>CONCATENATE("64240667994")</f>
        <v>64240667994</v>
      </c>
      <c r="I2277" s="3" t="s">
        <v>25</v>
      </c>
      <c r="J2277" s="3" t="s">
        <v>26</v>
      </c>
      <c r="K2277" s="3" t="str">
        <f t="shared" si="70"/>
        <v/>
      </c>
      <c r="L2277" s="3" t="str">
        <f>CONCATENATE("11 11.2 4b")</f>
        <v>11 11.2 4b</v>
      </c>
      <c r="M2277" s="3" t="str">
        <f>CONCATENATE("00327850442")</f>
        <v>00327850442</v>
      </c>
      <c r="N2277" s="3" t="s">
        <v>2238</v>
      </c>
      <c r="O2277" s="3"/>
      <c r="P2277" s="4">
        <v>42783</v>
      </c>
      <c r="Q2277" s="3" t="s">
        <v>27</v>
      </c>
      <c r="R2277" s="3" t="s">
        <v>28</v>
      </c>
      <c r="S2277" s="3" t="s">
        <v>29</v>
      </c>
      <c r="T2277" s="3">
        <v>340.79</v>
      </c>
      <c r="U2277" s="3">
        <v>146.94999999999999</v>
      </c>
      <c r="V2277" s="3">
        <v>135.69999999999999</v>
      </c>
      <c r="W2277" s="3">
        <v>58.14</v>
      </c>
    </row>
    <row r="2278" spans="1:23" ht="60.75">
      <c r="A2278" s="3" t="s">
        <v>23</v>
      </c>
      <c r="B2278" s="3" t="s">
        <v>24</v>
      </c>
      <c r="C2278" s="3" t="s">
        <v>35</v>
      </c>
      <c r="D2278" s="3" t="s">
        <v>43</v>
      </c>
      <c r="E2278" s="3" t="s">
        <v>30</v>
      </c>
      <c r="F2278" s="3" t="s">
        <v>124</v>
      </c>
      <c r="G2278" s="3">
        <v>2016</v>
      </c>
      <c r="H2278" s="3" t="str">
        <f>CONCATENATE("64240311791")</f>
        <v>64240311791</v>
      </c>
      <c r="I2278" s="3" t="s">
        <v>25</v>
      </c>
      <c r="J2278" s="3" t="s">
        <v>26</v>
      </c>
      <c r="K2278" s="3" t="str">
        <f t="shared" si="70"/>
        <v/>
      </c>
      <c r="L2278" s="3" t="str">
        <f>CONCATENATE("11 11.2 4b")</f>
        <v>11 11.2 4b</v>
      </c>
      <c r="M2278" s="3" t="str">
        <f>CONCATENATE("GRSLLN64P65I287V")</f>
        <v>GRSLLN64P65I287V</v>
      </c>
      <c r="N2278" s="3" t="s">
        <v>743</v>
      </c>
      <c r="O2278" s="3"/>
      <c r="P2278" s="4">
        <v>42783</v>
      </c>
      <c r="Q2278" s="3" t="s">
        <v>27</v>
      </c>
      <c r="R2278" s="3" t="s">
        <v>28</v>
      </c>
      <c r="S2278" s="3" t="s">
        <v>29</v>
      </c>
      <c r="T2278" s="5">
        <v>2758.06</v>
      </c>
      <c r="U2278" s="5">
        <v>1189.28</v>
      </c>
      <c r="V2278" s="5">
        <v>1098.26</v>
      </c>
      <c r="W2278" s="3">
        <v>470.52</v>
      </c>
    </row>
    <row r="2279" spans="1:23" ht="60.75">
      <c r="A2279" s="3" t="s">
        <v>23</v>
      </c>
      <c r="B2279" s="3" t="s">
        <v>24</v>
      </c>
      <c r="C2279" s="3" t="s">
        <v>35</v>
      </c>
      <c r="D2279" s="3" t="s">
        <v>36</v>
      </c>
      <c r="E2279" s="3" t="s">
        <v>30</v>
      </c>
      <c r="F2279" s="3" t="s">
        <v>67</v>
      </c>
      <c r="G2279" s="3">
        <v>2016</v>
      </c>
      <c r="H2279" s="3" t="str">
        <f>CONCATENATE("64240843223")</f>
        <v>64240843223</v>
      </c>
      <c r="I2279" s="3" t="s">
        <v>25</v>
      </c>
      <c r="J2279" s="3" t="s">
        <v>26</v>
      </c>
      <c r="K2279" s="3" t="str">
        <f t="shared" si="70"/>
        <v/>
      </c>
      <c r="L2279" s="3" t="str">
        <f>CONCATENATE("11 11.1 4b")</f>
        <v>11 11.1 4b</v>
      </c>
      <c r="M2279" s="3" t="str">
        <f>CONCATENATE("SCRLNZ59H10E447X")</f>
        <v>SCRLNZ59H10E447X</v>
      </c>
      <c r="N2279" s="3" t="s">
        <v>2239</v>
      </c>
      <c r="O2279" s="3"/>
      <c r="P2279" s="4">
        <v>42783</v>
      </c>
      <c r="Q2279" s="3" t="s">
        <v>27</v>
      </c>
      <c r="R2279" s="3" t="s">
        <v>28</v>
      </c>
      <c r="S2279" s="3" t="s">
        <v>29</v>
      </c>
      <c r="T2279" s="5">
        <v>7338.68</v>
      </c>
      <c r="U2279" s="5">
        <v>3164.44</v>
      </c>
      <c r="V2279" s="5">
        <v>2922.26</v>
      </c>
      <c r="W2279" s="5">
        <v>1251.98</v>
      </c>
    </row>
    <row r="2280" spans="1:23" ht="72.75">
      <c r="A2280" s="3" t="s">
        <v>23</v>
      </c>
      <c r="B2280" s="3" t="s">
        <v>24</v>
      </c>
      <c r="C2280" s="3" t="s">
        <v>35</v>
      </c>
      <c r="D2280" s="3" t="s">
        <v>39</v>
      </c>
      <c r="E2280" s="3" t="s">
        <v>33</v>
      </c>
      <c r="F2280" s="3" t="s">
        <v>498</v>
      </c>
      <c r="G2280" s="3">
        <v>2016</v>
      </c>
      <c r="H2280" s="3" t="str">
        <f>CONCATENATE("64240324893")</f>
        <v>64240324893</v>
      </c>
      <c r="I2280" s="3" t="s">
        <v>25</v>
      </c>
      <c r="J2280" s="3" t="s">
        <v>26</v>
      </c>
      <c r="K2280" s="3" t="str">
        <f t="shared" si="70"/>
        <v/>
      </c>
      <c r="L2280" s="3" t="str">
        <f>CONCATENATE("11 11.2 4b")</f>
        <v>11 11.2 4b</v>
      </c>
      <c r="M2280" s="3" t="str">
        <f>CONCATENATE("BRCGPP65B08D211Q")</f>
        <v>BRCGPP65B08D211Q</v>
      </c>
      <c r="N2280" s="3" t="s">
        <v>2240</v>
      </c>
      <c r="O2280" s="3"/>
      <c r="P2280" s="4">
        <v>42783</v>
      </c>
      <c r="Q2280" s="3" t="s">
        <v>27</v>
      </c>
      <c r="R2280" s="3" t="s">
        <v>28</v>
      </c>
      <c r="S2280" s="3" t="s">
        <v>29</v>
      </c>
      <c r="T2280" s="5">
        <v>4568.6899999999996</v>
      </c>
      <c r="U2280" s="5">
        <v>1970.02</v>
      </c>
      <c r="V2280" s="5">
        <v>1819.25</v>
      </c>
      <c r="W2280" s="3">
        <v>779.42</v>
      </c>
    </row>
    <row r="2281" spans="1:23" ht="36.75">
      <c r="A2281" s="3" t="s">
        <v>23</v>
      </c>
      <c r="B2281" s="3" t="s">
        <v>24</v>
      </c>
      <c r="C2281" s="3" t="s">
        <v>35</v>
      </c>
      <c r="D2281" s="3" t="s">
        <v>36</v>
      </c>
      <c r="E2281" s="3" t="s">
        <v>30</v>
      </c>
      <c r="F2281" s="3" t="s">
        <v>67</v>
      </c>
      <c r="G2281" s="3">
        <v>2016</v>
      </c>
      <c r="H2281" s="3" t="str">
        <f>CONCATENATE("64240523247")</f>
        <v>64240523247</v>
      </c>
      <c r="I2281" s="3" t="s">
        <v>25</v>
      </c>
      <c r="J2281" s="3" t="s">
        <v>26</v>
      </c>
      <c r="K2281" s="3" t="str">
        <f t="shared" si="70"/>
        <v/>
      </c>
      <c r="L2281" s="3" t="str">
        <f>CONCATENATE("11 11.2 4b")</f>
        <v>11 11.2 4b</v>
      </c>
      <c r="M2281" s="3" t="str">
        <f>CONCATENATE("01810610442")</f>
        <v>01810610442</v>
      </c>
      <c r="N2281" s="3" t="s">
        <v>2241</v>
      </c>
      <c r="O2281" s="3"/>
      <c r="P2281" s="4">
        <v>42783</v>
      </c>
      <c r="Q2281" s="3" t="s">
        <v>27</v>
      </c>
      <c r="R2281" s="3" t="s">
        <v>28</v>
      </c>
      <c r="S2281" s="3" t="s">
        <v>29</v>
      </c>
      <c r="T2281" s="5">
        <v>2896.61</v>
      </c>
      <c r="U2281" s="5">
        <v>1249.02</v>
      </c>
      <c r="V2281" s="5">
        <v>1153.43</v>
      </c>
      <c r="W2281" s="3">
        <v>494.16</v>
      </c>
    </row>
    <row r="2282" spans="1:23" ht="72.75">
      <c r="A2282" s="3" t="s">
        <v>23</v>
      </c>
      <c r="B2282" s="3" t="s">
        <v>24</v>
      </c>
      <c r="C2282" s="3" t="s">
        <v>35</v>
      </c>
      <c r="D2282" s="3" t="s">
        <v>43</v>
      </c>
      <c r="E2282" s="3" t="s">
        <v>30</v>
      </c>
      <c r="F2282" s="3" t="s">
        <v>199</v>
      </c>
      <c r="G2282" s="3">
        <v>2016</v>
      </c>
      <c r="H2282" s="3" t="str">
        <f>CONCATENATE("64240737649")</f>
        <v>64240737649</v>
      </c>
      <c r="I2282" s="3" t="s">
        <v>25</v>
      </c>
      <c r="J2282" s="3" t="s">
        <v>26</v>
      </c>
      <c r="K2282" s="3" t="str">
        <f t="shared" si="70"/>
        <v/>
      </c>
      <c r="L2282" s="3" t="str">
        <f>CONCATENATE("10 10.1 4b")</f>
        <v>10 10.1 4b</v>
      </c>
      <c r="M2282" s="3" t="str">
        <f>CONCATENATE("BRNMRN38E11G479I")</f>
        <v>BRNMRN38E11G479I</v>
      </c>
      <c r="N2282" s="3" t="s">
        <v>2242</v>
      </c>
      <c r="O2282" s="3"/>
      <c r="P2282" s="4">
        <v>42783</v>
      </c>
      <c r="Q2282" s="3" t="s">
        <v>27</v>
      </c>
      <c r="R2282" s="3" t="s">
        <v>28</v>
      </c>
      <c r="S2282" s="3" t="s">
        <v>29</v>
      </c>
      <c r="T2282" s="5">
        <v>1388.09</v>
      </c>
      <c r="U2282" s="3">
        <v>598.54</v>
      </c>
      <c r="V2282" s="3">
        <v>552.74</v>
      </c>
      <c r="W2282" s="3">
        <v>236.81</v>
      </c>
    </row>
    <row r="2283" spans="1:23" ht="60.75">
      <c r="A2283" s="3" t="s">
        <v>23</v>
      </c>
      <c r="B2283" s="3" t="s">
        <v>24</v>
      </c>
      <c r="C2283" s="3" t="s">
        <v>35</v>
      </c>
      <c r="D2283" s="3" t="s">
        <v>36</v>
      </c>
      <c r="E2283" s="3" t="s">
        <v>32</v>
      </c>
      <c r="F2283" s="3" t="s">
        <v>208</v>
      </c>
      <c r="G2283" s="3">
        <v>2016</v>
      </c>
      <c r="H2283" s="3" t="str">
        <f>CONCATENATE("64240555744")</f>
        <v>64240555744</v>
      </c>
      <c r="I2283" s="3" t="s">
        <v>25</v>
      </c>
      <c r="J2283" s="3" t="s">
        <v>26</v>
      </c>
      <c r="K2283" s="3" t="str">
        <f t="shared" si="70"/>
        <v/>
      </c>
      <c r="L2283" s="3" t="str">
        <f>CONCATENATE("10 10.1 4b")</f>
        <v>10 10.1 4b</v>
      </c>
      <c r="M2283" s="3" t="str">
        <f>CONCATENATE("CCCLBT78E59D542X")</f>
        <v>CCCLBT78E59D542X</v>
      </c>
      <c r="N2283" s="3" t="s">
        <v>2243</v>
      </c>
      <c r="O2283" s="3"/>
      <c r="P2283" s="4">
        <v>42783</v>
      </c>
      <c r="Q2283" s="3" t="s">
        <v>27</v>
      </c>
      <c r="R2283" s="3" t="s">
        <v>28</v>
      </c>
      <c r="S2283" s="3" t="s">
        <v>29</v>
      </c>
      <c r="T2283" s="5">
        <v>1025.68</v>
      </c>
      <c r="U2283" s="3">
        <v>442.27</v>
      </c>
      <c r="V2283" s="3">
        <v>408.43</v>
      </c>
      <c r="W2283" s="3">
        <v>174.98</v>
      </c>
    </row>
    <row r="2284" spans="1:23" ht="60.75">
      <c r="A2284" s="3" t="s">
        <v>23</v>
      </c>
      <c r="B2284" s="3" t="s">
        <v>24</v>
      </c>
      <c r="C2284" s="3" t="s">
        <v>35</v>
      </c>
      <c r="D2284" s="3" t="s">
        <v>48</v>
      </c>
      <c r="E2284" s="3" t="s">
        <v>34</v>
      </c>
      <c r="F2284" s="3" t="s">
        <v>141</v>
      </c>
      <c r="G2284" s="3">
        <v>2016</v>
      </c>
      <c r="H2284" s="3" t="str">
        <f>CONCATENATE("64240732889")</f>
        <v>64240732889</v>
      </c>
      <c r="I2284" s="3" t="s">
        <v>25</v>
      </c>
      <c r="J2284" s="3" t="s">
        <v>26</v>
      </c>
      <c r="K2284" s="3" t="str">
        <f t="shared" si="70"/>
        <v/>
      </c>
      <c r="L2284" s="3" t="str">
        <f>CONCATENATE("11 11.2 4b")</f>
        <v>11 11.2 4b</v>
      </c>
      <c r="M2284" s="3" t="str">
        <f>CONCATENATE("PLNSML74D70L366A")</f>
        <v>PLNSML74D70L366A</v>
      </c>
      <c r="N2284" s="3" t="s">
        <v>2244</v>
      </c>
      <c r="O2284" s="3"/>
      <c r="P2284" s="4">
        <v>42783</v>
      </c>
      <c r="Q2284" s="3" t="s">
        <v>27</v>
      </c>
      <c r="R2284" s="3" t="s">
        <v>28</v>
      </c>
      <c r="S2284" s="3" t="s">
        <v>29</v>
      </c>
      <c r="T2284" s="5">
        <v>52826.07</v>
      </c>
      <c r="U2284" s="5">
        <v>22778.6</v>
      </c>
      <c r="V2284" s="5">
        <v>21035.34</v>
      </c>
      <c r="W2284" s="5">
        <v>9012.1299999999992</v>
      </c>
    </row>
    <row r="2285" spans="1:23" ht="36.75">
      <c r="A2285" s="3" t="s">
        <v>23</v>
      </c>
      <c r="B2285" s="3" t="s">
        <v>24</v>
      </c>
      <c r="C2285" s="3" t="s">
        <v>35</v>
      </c>
      <c r="D2285" s="3" t="s">
        <v>36</v>
      </c>
      <c r="E2285" s="3" t="s">
        <v>30</v>
      </c>
      <c r="F2285" s="3" t="s">
        <v>53</v>
      </c>
      <c r="G2285" s="3">
        <v>2016</v>
      </c>
      <c r="H2285" s="3" t="str">
        <f>CONCATENATE("64240685566")</f>
        <v>64240685566</v>
      </c>
      <c r="I2285" s="3" t="s">
        <v>25</v>
      </c>
      <c r="J2285" s="3" t="s">
        <v>26</v>
      </c>
      <c r="K2285" s="3" t="str">
        <f t="shared" si="70"/>
        <v/>
      </c>
      <c r="L2285" s="3" t="str">
        <f>CONCATENATE("11 11.1 4b")</f>
        <v>11 11.1 4b</v>
      </c>
      <c r="M2285" s="3" t="str">
        <f>CONCATENATE("02273390449")</f>
        <v>02273390449</v>
      </c>
      <c r="N2285" s="3" t="s">
        <v>2245</v>
      </c>
      <c r="O2285" s="3"/>
      <c r="P2285" s="4">
        <v>42783</v>
      </c>
      <c r="Q2285" s="3" t="s">
        <v>27</v>
      </c>
      <c r="R2285" s="3" t="s">
        <v>28</v>
      </c>
      <c r="S2285" s="3" t="s">
        <v>29</v>
      </c>
      <c r="T2285" s="5">
        <v>2294.2800000000002</v>
      </c>
      <c r="U2285" s="3">
        <v>989.29</v>
      </c>
      <c r="V2285" s="3">
        <v>913.58</v>
      </c>
      <c r="W2285" s="3">
        <v>391.41</v>
      </c>
    </row>
    <row r="2286" spans="1:23" ht="60.75">
      <c r="A2286" s="3" t="s">
        <v>23</v>
      </c>
      <c r="B2286" s="3" t="s">
        <v>24</v>
      </c>
      <c r="C2286" s="3" t="s">
        <v>35</v>
      </c>
      <c r="D2286" s="3" t="s">
        <v>36</v>
      </c>
      <c r="E2286" s="3" t="s">
        <v>33</v>
      </c>
      <c r="F2286" s="3" t="s">
        <v>192</v>
      </c>
      <c r="G2286" s="3">
        <v>2016</v>
      </c>
      <c r="H2286" s="3" t="str">
        <f>CONCATENATE("64240519575")</f>
        <v>64240519575</v>
      </c>
      <c r="I2286" s="3" t="s">
        <v>25</v>
      </c>
      <c r="J2286" s="3" t="s">
        <v>26</v>
      </c>
      <c r="K2286" s="3" t="str">
        <f t="shared" si="70"/>
        <v/>
      </c>
      <c r="L2286" s="3" t="str">
        <f>CONCATENATE("11 11.1 4b")</f>
        <v>11 11.1 4b</v>
      </c>
      <c r="M2286" s="3" t="str">
        <f>CONCATENATE("STRJGS86T03H769W")</f>
        <v>STRJGS86T03H769W</v>
      </c>
      <c r="N2286" s="3" t="s">
        <v>2246</v>
      </c>
      <c r="O2286" s="3"/>
      <c r="P2286" s="4">
        <v>42783</v>
      </c>
      <c r="Q2286" s="3" t="s">
        <v>27</v>
      </c>
      <c r="R2286" s="3" t="s">
        <v>28</v>
      </c>
      <c r="S2286" s="3" t="s">
        <v>29</v>
      </c>
      <c r="T2286" s="3">
        <v>727.71</v>
      </c>
      <c r="U2286" s="3">
        <v>313.79000000000002</v>
      </c>
      <c r="V2286" s="3">
        <v>289.77</v>
      </c>
      <c r="W2286" s="3">
        <v>124.15</v>
      </c>
    </row>
    <row r="2287" spans="1:23" ht="60.75">
      <c r="A2287" s="3" t="s">
        <v>23</v>
      </c>
      <c r="B2287" s="3" t="s">
        <v>24</v>
      </c>
      <c r="C2287" s="3" t="s">
        <v>35</v>
      </c>
      <c r="D2287" s="3" t="s">
        <v>39</v>
      </c>
      <c r="E2287" s="3" t="s">
        <v>32</v>
      </c>
      <c r="F2287" s="3" t="s">
        <v>117</v>
      </c>
      <c r="G2287" s="3">
        <v>2016</v>
      </c>
      <c r="H2287" s="3" t="str">
        <f>CONCATENATE("64240486064")</f>
        <v>64240486064</v>
      </c>
      <c r="I2287" s="3" t="s">
        <v>25</v>
      </c>
      <c r="J2287" s="3" t="s">
        <v>26</v>
      </c>
      <c r="K2287" s="3" t="str">
        <f t="shared" si="70"/>
        <v/>
      </c>
      <c r="L2287" s="3" t="str">
        <f>CONCATENATE("11 11.1 4b")</f>
        <v>11 11.1 4b</v>
      </c>
      <c r="M2287" s="3" t="str">
        <f>CONCATENATE("CVTGNN83S55I608R")</f>
        <v>CVTGNN83S55I608R</v>
      </c>
      <c r="N2287" s="3" t="s">
        <v>2247</v>
      </c>
      <c r="O2287" s="3"/>
      <c r="P2287" s="4">
        <v>42783</v>
      </c>
      <c r="Q2287" s="3" t="s">
        <v>27</v>
      </c>
      <c r="R2287" s="3" t="s">
        <v>28</v>
      </c>
      <c r="S2287" s="3" t="s">
        <v>29</v>
      </c>
      <c r="T2287" s="5">
        <v>6830.46</v>
      </c>
      <c r="U2287" s="5">
        <v>2945.29</v>
      </c>
      <c r="V2287" s="5">
        <v>2719.89</v>
      </c>
      <c r="W2287" s="5">
        <v>1165.28</v>
      </c>
    </row>
    <row r="2288" spans="1:23" ht="60.75">
      <c r="A2288" s="3" t="s">
        <v>23</v>
      </c>
      <c r="B2288" s="3" t="s">
        <v>24</v>
      </c>
      <c r="C2288" s="3" t="s">
        <v>35</v>
      </c>
      <c r="D2288" s="3" t="s">
        <v>36</v>
      </c>
      <c r="E2288" s="3" t="s">
        <v>32</v>
      </c>
      <c r="F2288" s="3" t="s">
        <v>208</v>
      </c>
      <c r="G2288" s="3">
        <v>2016</v>
      </c>
      <c r="H2288" s="3" t="str">
        <f>CONCATENATE("64240234589")</f>
        <v>64240234589</v>
      </c>
      <c r="I2288" s="3" t="s">
        <v>25</v>
      </c>
      <c r="J2288" s="3" t="s">
        <v>26</v>
      </c>
      <c r="K2288" s="3" t="str">
        <f t="shared" si="70"/>
        <v/>
      </c>
      <c r="L2288" s="3" t="str">
        <f>CONCATENATE("11 11.2 4b")</f>
        <v>11 11.2 4b</v>
      </c>
      <c r="M2288" s="3" t="str">
        <f>CONCATENATE("NFRGPP63P26H769Q")</f>
        <v>NFRGPP63P26H769Q</v>
      </c>
      <c r="N2288" s="3" t="s">
        <v>2248</v>
      </c>
      <c r="O2288" s="3"/>
      <c r="P2288" s="4">
        <v>42783</v>
      </c>
      <c r="Q2288" s="3" t="s">
        <v>27</v>
      </c>
      <c r="R2288" s="3" t="s">
        <v>28</v>
      </c>
      <c r="S2288" s="3" t="s">
        <v>29</v>
      </c>
      <c r="T2288" s="5">
        <v>2783.85</v>
      </c>
      <c r="U2288" s="5">
        <v>1200.4000000000001</v>
      </c>
      <c r="V2288" s="5">
        <v>1108.53</v>
      </c>
      <c r="W2288" s="3">
        <v>474.92</v>
      </c>
    </row>
    <row r="2289" spans="1:23" ht="36.75">
      <c r="A2289" s="3" t="s">
        <v>23</v>
      </c>
      <c r="B2289" s="3" t="s">
        <v>24</v>
      </c>
      <c r="C2289" s="3" t="s">
        <v>35</v>
      </c>
      <c r="D2289" s="3" t="s">
        <v>48</v>
      </c>
      <c r="E2289" s="3" t="s">
        <v>49</v>
      </c>
      <c r="F2289" s="3" t="s">
        <v>80</v>
      </c>
      <c r="G2289" s="3">
        <v>2016</v>
      </c>
      <c r="H2289" s="3" t="str">
        <f>CONCATENATE("64240261061")</f>
        <v>64240261061</v>
      </c>
      <c r="I2289" s="3" t="s">
        <v>25</v>
      </c>
      <c r="J2289" s="3" t="s">
        <v>26</v>
      </c>
      <c r="K2289" s="3" t="str">
        <f t="shared" si="70"/>
        <v/>
      </c>
      <c r="L2289" s="3" t="str">
        <f>CONCATENATE("11 11.1 4b")</f>
        <v>11 11.1 4b</v>
      </c>
      <c r="M2289" s="3" t="str">
        <f>CONCATENATE("01834960435")</f>
        <v>01834960435</v>
      </c>
      <c r="N2289" s="3" t="s">
        <v>2249</v>
      </c>
      <c r="O2289" s="3"/>
      <c r="P2289" s="4">
        <v>42783</v>
      </c>
      <c r="Q2289" s="3" t="s">
        <v>27</v>
      </c>
      <c r="R2289" s="3" t="s">
        <v>28</v>
      </c>
      <c r="S2289" s="3" t="s">
        <v>29</v>
      </c>
      <c r="T2289" s="5">
        <v>4170.1899999999996</v>
      </c>
      <c r="U2289" s="5">
        <v>1798.19</v>
      </c>
      <c r="V2289" s="5">
        <v>1660.57</v>
      </c>
      <c r="W2289" s="3">
        <v>711.43</v>
      </c>
    </row>
    <row r="2290" spans="1:23" ht="72.75">
      <c r="A2290" s="3" t="s">
        <v>23</v>
      </c>
      <c r="B2290" s="3" t="s">
        <v>24</v>
      </c>
      <c r="C2290" s="3" t="s">
        <v>35</v>
      </c>
      <c r="D2290" s="3" t="s">
        <v>36</v>
      </c>
      <c r="E2290" s="3" t="s">
        <v>30</v>
      </c>
      <c r="F2290" s="3" t="s">
        <v>323</v>
      </c>
      <c r="G2290" s="3">
        <v>2016</v>
      </c>
      <c r="H2290" s="3" t="str">
        <f>CONCATENATE("64240736583")</f>
        <v>64240736583</v>
      </c>
      <c r="I2290" s="3" t="s">
        <v>25</v>
      </c>
      <c r="J2290" s="3" t="s">
        <v>26</v>
      </c>
      <c r="K2290" s="3" t="str">
        <f t="shared" si="70"/>
        <v/>
      </c>
      <c r="L2290" s="3" t="str">
        <f>CONCATENATE("11 11.2 4b")</f>
        <v>11 11.2 4b</v>
      </c>
      <c r="M2290" s="3" t="str">
        <f>CONCATENATE("FRVNLP65A60G005Q")</f>
        <v>FRVNLP65A60G005Q</v>
      </c>
      <c r="N2290" s="3" t="s">
        <v>2250</v>
      </c>
      <c r="O2290" s="3"/>
      <c r="P2290" s="4">
        <v>42783</v>
      </c>
      <c r="Q2290" s="3" t="s">
        <v>27</v>
      </c>
      <c r="R2290" s="3" t="s">
        <v>28</v>
      </c>
      <c r="S2290" s="3" t="s">
        <v>29</v>
      </c>
      <c r="T2290" s="5">
        <v>2252.2199999999998</v>
      </c>
      <c r="U2290" s="3">
        <v>971.16</v>
      </c>
      <c r="V2290" s="3">
        <v>896.83</v>
      </c>
      <c r="W2290" s="3">
        <v>384.23</v>
      </c>
    </row>
    <row r="2291" spans="1:23" ht="60.75">
      <c r="A2291" s="3" t="s">
        <v>23</v>
      </c>
      <c r="B2291" s="3" t="s">
        <v>24</v>
      </c>
      <c r="C2291" s="3" t="s">
        <v>35</v>
      </c>
      <c r="D2291" s="3" t="s">
        <v>36</v>
      </c>
      <c r="E2291" s="3" t="s">
        <v>33</v>
      </c>
      <c r="F2291" s="3" t="s">
        <v>360</v>
      </c>
      <c r="G2291" s="3">
        <v>2016</v>
      </c>
      <c r="H2291" s="3" t="str">
        <f>CONCATENATE("64240450334")</f>
        <v>64240450334</v>
      </c>
      <c r="I2291" s="3" t="s">
        <v>25</v>
      </c>
      <c r="J2291" s="3" t="s">
        <v>26</v>
      </c>
      <c r="K2291" s="3" t="str">
        <f t="shared" si="70"/>
        <v/>
      </c>
      <c r="L2291" s="3" t="str">
        <f>CONCATENATE("10 10.1 4b")</f>
        <v>10 10.1 4b</v>
      </c>
      <c r="M2291" s="3" t="str">
        <f>CONCATENATE("VGNGFR64P08G516S")</f>
        <v>VGNGFR64P08G516S</v>
      </c>
      <c r="N2291" s="3" t="s">
        <v>2251</v>
      </c>
      <c r="O2291" s="3"/>
      <c r="P2291" s="4">
        <v>42783</v>
      </c>
      <c r="Q2291" s="3" t="s">
        <v>27</v>
      </c>
      <c r="R2291" s="3" t="s">
        <v>28</v>
      </c>
      <c r="S2291" s="3" t="s">
        <v>29</v>
      </c>
      <c r="T2291" s="5">
        <v>3947.67</v>
      </c>
      <c r="U2291" s="5">
        <v>1702.24</v>
      </c>
      <c r="V2291" s="5">
        <v>1571.96</v>
      </c>
      <c r="W2291" s="3">
        <v>673.47</v>
      </c>
    </row>
    <row r="2292" spans="1:23" ht="60.75">
      <c r="A2292" s="3" t="s">
        <v>23</v>
      </c>
      <c r="B2292" s="3" t="s">
        <v>24</v>
      </c>
      <c r="C2292" s="3" t="s">
        <v>35</v>
      </c>
      <c r="D2292" s="3" t="s">
        <v>48</v>
      </c>
      <c r="E2292" s="3" t="s">
        <v>30</v>
      </c>
      <c r="F2292" s="3" t="s">
        <v>91</v>
      </c>
      <c r="G2292" s="3">
        <v>2016</v>
      </c>
      <c r="H2292" s="3" t="str">
        <f>CONCATENATE("64240317319")</f>
        <v>64240317319</v>
      </c>
      <c r="I2292" s="3" t="s">
        <v>25</v>
      </c>
      <c r="J2292" s="3" t="s">
        <v>26</v>
      </c>
      <c r="K2292" s="3" t="str">
        <f t="shared" si="70"/>
        <v/>
      </c>
      <c r="L2292" s="3" t="str">
        <f>CONCATENATE("11 11.1 4b")</f>
        <v>11 11.1 4b</v>
      </c>
      <c r="M2292" s="3" t="str">
        <f>CONCATENATE("MRZCRL65C22M082H")</f>
        <v>MRZCRL65C22M082H</v>
      </c>
      <c r="N2292" s="3" t="s">
        <v>2252</v>
      </c>
      <c r="O2292" s="3"/>
      <c r="P2292" s="4">
        <v>42783</v>
      </c>
      <c r="Q2292" s="3" t="s">
        <v>27</v>
      </c>
      <c r="R2292" s="3" t="s">
        <v>28</v>
      </c>
      <c r="S2292" s="3" t="s">
        <v>29</v>
      </c>
      <c r="T2292" s="5">
        <v>2413.89</v>
      </c>
      <c r="U2292" s="5">
        <v>1040.8699999999999</v>
      </c>
      <c r="V2292" s="3">
        <v>961.21</v>
      </c>
      <c r="W2292" s="3">
        <v>411.81</v>
      </c>
    </row>
    <row r="2293" spans="1:23" ht="36.75">
      <c r="A2293" s="3" t="s">
        <v>23</v>
      </c>
      <c r="B2293" s="3" t="s">
        <v>24</v>
      </c>
      <c r="C2293" s="3" t="s">
        <v>35</v>
      </c>
      <c r="D2293" s="3" t="s">
        <v>43</v>
      </c>
      <c r="E2293" s="3" t="s">
        <v>49</v>
      </c>
      <c r="F2293" s="3" t="s">
        <v>139</v>
      </c>
      <c r="G2293" s="3">
        <v>2016</v>
      </c>
      <c r="H2293" s="3" t="str">
        <f>CONCATENATE("64240900676")</f>
        <v>64240900676</v>
      </c>
      <c r="I2293" s="3" t="s">
        <v>25</v>
      </c>
      <c r="J2293" s="3" t="s">
        <v>26</v>
      </c>
      <c r="K2293" s="3" t="str">
        <f t="shared" si="70"/>
        <v/>
      </c>
      <c r="L2293" s="3" t="str">
        <f>CONCATENATE("11 11.1 4b")</f>
        <v>11 11.1 4b</v>
      </c>
      <c r="M2293" s="3" t="str">
        <f>CONCATENATE("02607370414")</f>
        <v>02607370414</v>
      </c>
      <c r="N2293" s="3" t="s">
        <v>2253</v>
      </c>
      <c r="O2293" s="3"/>
      <c r="P2293" s="4">
        <v>42783</v>
      </c>
      <c r="Q2293" s="3" t="s">
        <v>27</v>
      </c>
      <c r="R2293" s="3" t="s">
        <v>28</v>
      </c>
      <c r="S2293" s="3" t="s">
        <v>29</v>
      </c>
      <c r="T2293" s="5">
        <v>29970.95</v>
      </c>
      <c r="U2293" s="5">
        <v>12923.47</v>
      </c>
      <c r="V2293" s="5">
        <v>11934.43</v>
      </c>
      <c r="W2293" s="5">
        <v>5113.05</v>
      </c>
    </row>
    <row r="2294" spans="1:23" ht="60.75">
      <c r="A2294" s="3" t="s">
        <v>23</v>
      </c>
      <c r="B2294" s="3" t="s">
        <v>24</v>
      </c>
      <c r="C2294" s="3" t="s">
        <v>35</v>
      </c>
      <c r="D2294" s="3" t="s">
        <v>48</v>
      </c>
      <c r="E2294" s="3" t="s">
        <v>30</v>
      </c>
      <c r="F2294" s="3" t="s">
        <v>91</v>
      </c>
      <c r="G2294" s="3">
        <v>2016</v>
      </c>
      <c r="H2294" s="3" t="str">
        <f>CONCATENATE("64210568396")</f>
        <v>64210568396</v>
      </c>
      <c r="I2294" s="3" t="s">
        <v>25</v>
      </c>
      <c r="J2294" s="3" t="s">
        <v>26</v>
      </c>
      <c r="K2294" s="3" t="str">
        <f t="shared" si="70"/>
        <v/>
      </c>
      <c r="L2294" s="3" t="str">
        <f>CONCATENATE("13 13.1 4a")</f>
        <v>13 13.1 4a</v>
      </c>
      <c r="M2294" s="3" t="str">
        <f>CONCATENATE("DMNRTI46P66I569J")</f>
        <v>DMNRTI46P66I569J</v>
      </c>
      <c r="N2294" s="3" t="s">
        <v>2254</v>
      </c>
      <c r="O2294" s="3"/>
      <c r="P2294" s="4">
        <v>42783</v>
      </c>
      <c r="Q2294" s="3" t="s">
        <v>27</v>
      </c>
      <c r="R2294" s="3" t="s">
        <v>28</v>
      </c>
      <c r="S2294" s="3" t="s">
        <v>29</v>
      </c>
      <c r="T2294" s="5">
        <v>4590</v>
      </c>
      <c r="U2294" s="5">
        <v>1979.21</v>
      </c>
      <c r="V2294" s="5">
        <v>1827.74</v>
      </c>
      <c r="W2294" s="3">
        <v>783.05</v>
      </c>
    </row>
    <row r="2295" spans="1:23" ht="60.75">
      <c r="A2295" s="3" t="s">
        <v>23</v>
      </c>
      <c r="B2295" s="3" t="s">
        <v>24</v>
      </c>
      <c r="C2295" s="3" t="s">
        <v>35</v>
      </c>
      <c r="D2295" s="3" t="s">
        <v>48</v>
      </c>
      <c r="E2295" s="3" t="s">
        <v>33</v>
      </c>
      <c r="F2295" s="3" t="s">
        <v>116</v>
      </c>
      <c r="G2295" s="3">
        <v>2016</v>
      </c>
      <c r="H2295" s="3" t="str">
        <f>CONCATENATE("64240664504")</f>
        <v>64240664504</v>
      </c>
      <c r="I2295" s="3" t="s">
        <v>25</v>
      </c>
      <c r="J2295" s="3" t="s">
        <v>26</v>
      </c>
      <c r="K2295" s="3" t="str">
        <f t="shared" si="70"/>
        <v/>
      </c>
      <c r="L2295" s="3" t="str">
        <f>CONCATENATE("11 11.2 4b")</f>
        <v>11 11.2 4b</v>
      </c>
      <c r="M2295" s="3" t="str">
        <f>CONCATENATE("BRCSLV83M51E783Q")</f>
        <v>BRCSLV83M51E783Q</v>
      </c>
      <c r="N2295" s="3" t="s">
        <v>2255</v>
      </c>
      <c r="O2295" s="3"/>
      <c r="P2295" s="4">
        <v>42783</v>
      </c>
      <c r="Q2295" s="3" t="s">
        <v>27</v>
      </c>
      <c r="R2295" s="3" t="s">
        <v>28</v>
      </c>
      <c r="S2295" s="3" t="s">
        <v>29</v>
      </c>
      <c r="T2295" s="5">
        <v>1283.26</v>
      </c>
      <c r="U2295" s="3">
        <v>553.34</v>
      </c>
      <c r="V2295" s="3">
        <v>510.99</v>
      </c>
      <c r="W2295" s="3">
        <v>218.93</v>
      </c>
    </row>
    <row r="2296" spans="1:23" ht="60.75">
      <c r="A2296" s="3" t="s">
        <v>23</v>
      </c>
      <c r="B2296" s="3" t="s">
        <v>24</v>
      </c>
      <c r="C2296" s="3" t="s">
        <v>35</v>
      </c>
      <c r="D2296" s="3" t="s">
        <v>36</v>
      </c>
      <c r="E2296" s="3" t="s">
        <v>32</v>
      </c>
      <c r="F2296" s="3" t="s">
        <v>127</v>
      </c>
      <c r="G2296" s="3">
        <v>2016</v>
      </c>
      <c r="H2296" s="3" t="str">
        <f>CONCATENATE("64240671541")</f>
        <v>64240671541</v>
      </c>
      <c r="I2296" s="3" t="s">
        <v>25</v>
      </c>
      <c r="J2296" s="3" t="s">
        <v>26</v>
      </c>
      <c r="K2296" s="3" t="str">
        <f t="shared" si="70"/>
        <v/>
      </c>
      <c r="L2296" s="3" t="str">
        <f>CONCATENATE("11 11.1 4b")</f>
        <v>11 11.1 4b</v>
      </c>
      <c r="M2296" s="3" t="str">
        <f>CONCATENATE("BRTMNL86A17C070Z")</f>
        <v>BRTMNL86A17C070Z</v>
      </c>
      <c r="N2296" s="3" t="s">
        <v>2256</v>
      </c>
      <c r="O2296" s="3"/>
      <c r="P2296" s="4">
        <v>42783</v>
      </c>
      <c r="Q2296" s="3" t="s">
        <v>27</v>
      </c>
      <c r="R2296" s="3" t="s">
        <v>28</v>
      </c>
      <c r="S2296" s="3" t="s">
        <v>29</v>
      </c>
      <c r="T2296" s="5">
        <v>1770.1</v>
      </c>
      <c r="U2296" s="3">
        <v>763.27</v>
      </c>
      <c r="V2296" s="3">
        <v>704.85</v>
      </c>
      <c r="W2296" s="3">
        <v>301.98</v>
      </c>
    </row>
    <row r="2297" spans="1:23" ht="60.75">
      <c r="A2297" s="3" t="s">
        <v>23</v>
      </c>
      <c r="B2297" s="3" t="s">
        <v>24</v>
      </c>
      <c r="C2297" s="3" t="s">
        <v>35</v>
      </c>
      <c r="D2297" s="3" t="s">
        <v>39</v>
      </c>
      <c r="E2297" s="3" t="s">
        <v>30</v>
      </c>
      <c r="F2297" s="3" t="s">
        <v>196</v>
      </c>
      <c r="G2297" s="3">
        <v>2016</v>
      </c>
      <c r="H2297" s="3" t="str">
        <f>CONCATENATE("64240859344")</f>
        <v>64240859344</v>
      </c>
      <c r="I2297" s="3" t="s">
        <v>25</v>
      </c>
      <c r="J2297" s="3" t="s">
        <v>26</v>
      </c>
      <c r="K2297" s="3" t="str">
        <f t="shared" si="70"/>
        <v/>
      </c>
      <c r="L2297" s="3" t="str">
        <f>CONCATENATE("10 10.1 4a")</f>
        <v>10 10.1 4a</v>
      </c>
      <c r="M2297" s="3" t="str">
        <f>CONCATENATE("BRTGCM73S14E388E")</f>
        <v>BRTGCM73S14E388E</v>
      </c>
      <c r="N2297" s="3" t="s">
        <v>2257</v>
      </c>
      <c r="O2297" s="3"/>
      <c r="P2297" s="4">
        <v>42783</v>
      </c>
      <c r="Q2297" s="3" t="s">
        <v>27</v>
      </c>
      <c r="R2297" s="3" t="s">
        <v>28</v>
      </c>
      <c r="S2297" s="3" t="s">
        <v>29</v>
      </c>
      <c r="T2297" s="3">
        <v>526.80999999999995</v>
      </c>
      <c r="U2297" s="3">
        <v>227.16</v>
      </c>
      <c r="V2297" s="3">
        <v>209.78</v>
      </c>
      <c r="W2297" s="3">
        <v>89.87</v>
      </c>
    </row>
    <row r="2298" spans="1:23" ht="60.75">
      <c r="A2298" s="3" t="s">
        <v>23</v>
      </c>
      <c r="B2298" s="3" t="s">
        <v>24</v>
      </c>
      <c r="C2298" s="3" t="s">
        <v>35</v>
      </c>
      <c r="D2298" s="3" t="s">
        <v>43</v>
      </c>
      <c r="E2298" s="3" t="s">
        <v>30</v>
      </c>
      <c r="F2298" s="3" t="s">
        <v>76</v>
      </c>
      <c r="G2298" s="3">
        <v>2016</v>
      </c>
      <c r="H2298" s="3" t="str">
        <f>CONCATENATE("64240056339")</f>
        <v>64240056339</v>
      </c>
      <c r="I2298" s="3" t="s">
        <v>25</v>
      </c>
      <c r="J2298" s="3" t="s">
        <v>26</v>
      </c>
      <c r="K2298" s="3" t="str">
        <f t="shared" si="70"/>
        <v/>
      </c>
      <c r="L2298" s="3" t="str">
        <f>CONCATENATE("11 11.2 4b")</f>
        <v>11 11.2 4b</v>
      </c>
      <c r="M2298" s="3" t="str">
        <f>CONCATENATE("CAUMCL57S04I749K")</f>
        <v>CAUMCL57S04I749K</v>
      </c>
      <c r="N2298" s="3" t="s">
        <v>446</v>
      </c>
      <c r="O2298" s="3"/>
      <c r="P2298" s="4">
        <v>42783</v>
      </c>
      <c r="Q2298" s="3" t="s">
        <v>27</v>
      </c>
      <c r="R2298" s="3" t="s">
        <v>28</v>
      </c>
      <c r="S2298" s="3" t="s">
        <v>29</v>
      </c>
      <c r="T2298" s="5">
        <v>8201.82</v>
      </c>
      <c r="U2298" s="5">
        <v>3536.62</v>
      </c>
      <c r="V2298" s="5">
        <v>3265.96</v>
      </c>
      <c r="W2298" s="5">
        <v>1399.24</v>
      </c>
    </row>
    <row r="2299" spans="1:23" ht="60.75">
      <c r="A2299" s="3" t="s">
        <v>23</v>
      </c>
      <c r="B2299" s="3" t="s">
        <v>24</v>
      </c>
      <c r="C2299" s="3" t="s">
        <v>35</v>
      </c>
      <c r="D2299" s="3" t="s">
        <v>39</v>
      </c>
      <c r="E2299" s="3" t="s">
        <v>30</v>
      </c>
      <c r="F2299" s="3" t="s">
        <v>40</v>
      </c>
      <c r="G2299" s="3">
        <v>2016</v>
      </c>
      <c r="H2299" s="3" t="str">
        <f>CONCATENATE("64240529491")</f>
        <v>64240529491</v>
      </c>
      <c r="I2299" s="3" t="s">
        <v>25</v>
      </c>
      <c r="J2299" s="3" t="s">
        <v>26</v>
      </c>
      <c r="K2299" s="3" t="str">
        <f t="shared" si="70"/>
        <v/>
      </c>
      <c r="L2299" s="3" t="str">
        <f>CONCATENATE("11 11.2 4b")</f>
        <v>11 11.2 4b</v>
      </c>
      <c r="M2299" s="3" t="str">
        <f>CONCATENATE("MTTGDN71B24I643K")</f>
        <v>MTTGDN71B24I643K</v>
      </c>
      <c r="N2299" s="3" t="s">
        <v>2258</v>
      </c>
      <c r="O2299" s="3"/>
      <c r="P2299" s="4">
        <v>42783</v>
      </c>
      <c r="Q2299" s="3" t="s">
        <v>27</v>
      </c>
      <c r="R2299" s="3" t="s">
        <v>28</v>
      </c>
      <c r="S2299" s="3" t="s">
        <v>29</v>
      </c>
      <c r="T2299" s="5">
        <v>2633.73</v>
      </c>
      <c r="U2299" s="5">
        <v>1135.6600000000001</v>
      </c>
      <c r="V2299" s="5">
        <v>1048.75</v>
      </c>
      <c r="W2299" s="3">
        <v>449.32</v>
      </c>
    </row>
    <row r="2300" spans="1:23" ht="36.75">
      <c r="A2300" s="3" t="s">
        <v>23</v>
      </c>
      <c r="B2300" s="3" t="s">
        <v>24</v>
      </c>
      <c r="C2300" s="3" t="s">
        <v>35</v>
      </c>
      <c r="D2300" s="3" t="s">
        <v>39</v>
      </c>
      <c r="E2300" s="3" t="s">
        <v>32</v>
      </c>
      <c r="F2300" s="3" t="s">
        <v>215</v>
      </c>
      <c r="G2300" s="3">
        <v>2016</v>
      </c>
      <c r="H2300" s="3" t="str">
        <f>CONCATENATE("64240352167")</f>
        <v>64240352167</v>
      </c>
      <c r="I2300" s="3" t="s">
        <v>25</v>
      </c>
      <c r="J2300" s="3" t="s">
        <v>26</v>
      </c>
      <c r="K2300" s="3" t="str">
        <f t="shared" si="70"/>
        <v/>
      </c>
      <c r="L2300" s="3" t="str">
        <f>CONCATENATE("11 11.2 4b")</f>
        <v>11 11.2 4b</v>
      </c>
      <c r="M2300" s="3" t="str">
        <f>CONCATENATE("02382790422")</f>
        <v>02382790422</v>
      </c>
      <c r="N2300" s="3" t="s">
        <v>2259</v>
      </c>
      <c r="O2300" s="3"/>
      <c r="P2300" s="4">
        <v>42783</v>
      </c>
      <c r="Q2300" s="3" t="s">
        <v>27</v>
      </c>
      <c r="R2300" s="3" t="s">
        <v>28</v>
      </c>
      <c r="S2300" s="3" t="s">
        <v>29</v>
      </c>
      <c r="T2300" s="5">
        <v>2341.75</v>
      </c>
      <c r="U2300" s="5">
        <v>1009.76</v>
      </c>
      <c r="V2300" s="3">
        <v>932.48</v>
      </c>
      <c r="W2300" s="3">
        <v>399.51</v>
      </c>
    </row>
    <row r="2301" spans="1:23" ht="72.75">
      <c r="A2301" s="3" t="s">
        <v>23</v>
      </c>
      <c r="B2301" s="3" t="s">
        <v>24</v>
      </c>
      <c r="C2301" s="3" t="s">
        <v>35</v>
      </c>
      <c r="D2301" s="3" t="s">
        <v>43</v>
      </c>
      <c r="E2301" s="3" t="s">
        <v>32</v>
      </c>
      <c r="F2301" s="3" t="s">
        <v>335</v>
      </c>
      <c r="G2301" s="3">
        <v>2016</v>
      </c>
      <c r="H2301" s="3" t="str">
        <f>CONCATENATE("64240584025")</f>
        <v>64240584025</v>
      </c>
      <c r="I2301" s="3" t="s">
        <v>25</v>
      </c>
      <c r="J2301" s="3" t="s">
        <v>26</v>
      </c>
      <c r="K2301" s="3" t="str">
        <f t="shared" si="70"/>
        <v/>
      </c>
      <c r="L2301" s="3" t="str">
        <f>CONCATENATE("11 11.2 4b")</f>
        <v>11 11.2 4b</v>
      </c>
      <c r="M2301" s="3" t="str">
        <f>CONCATENATE("RGNRCR68R18A740Q")</f>
        <v>RGNRCR68R18A740Q</v>
      </c>
      <c r="N2301" s="3" t="s">
        <v>2260</v>
      </c>
      <c r="O2301" s="3"/>
      <c r="P2301" s="4">
        <v>42783</v>
      </c>
      <c r="Q2301" s="3" t="s">
        <v>27</v>
      </c>
      <c r="R2301" s="3" t="s">
        <v>28</v>
      </c>
      <c r="S2301" s="3" t="s">
        <v>29</v>
      </c>
      <c r="T2301" s="3">
        <v>354.68</v>
      </c>
      <c r="U2301" s="3">
        <v>152.94</v>
      </c>
      <c r="V2301" s="3">
        <v>141.22999999999999</v>
      </c>
      <c r="W2301" s="3">
        <v>60.51</v>
      </c>
    </row>
    <row r="2302" spans="1:23" ht="72.75">
      <c r="A2302" s="3" t="s">
        <v>23</v>
      </c>
      <c r="B2302" s="3" t="s">
        <v>24</v>
      </c>
      <c r="C2302" s="3" t="s">
        <v>35</v>
      </c>
      <c r="D2302" s="3" t="s">
        <v>48</v>
      </c>
      <c r="E2302" s="3" t="s">
        <v>30</v>
      </c>
      <c r="F2302" s="3" t="s">
        <v>91</v>
      </c>
      <c r="G2302" s="3">
        <v>2016</v>
      </c>
      <c r="H2302" s="3" t="str">
        <f>CONCATENATE("64210512915")</f>
        <v>64210512915</v>
      </c>
      <c r="I2302" s="3" t="s">
        <v>25</v>
      </c>
      <c r="J2302" s="3" t="s">
        <v>26</v>
      </c>
      <c r="K2302" s="3" t="str">
        <f t="shared" si="70"/>
        <v/>
      </c>
      <c r="L2302" s="3" t="str">
        <f>CONCATENATE("13 13.1 4a")</f>
        <v>13 13.1 4a</v>
      </c>
      <c r="M2302" s="3" t="str">
        <f>CONCATENATE("GNTFRZ75R09B474B")</f>
        <v>GNTFRZ75R09B474B</v>
      </c>
      <c r="N2302" s="3" t="s">
        <v>2261</v>
      </c>
      <c r="O2302" s="3"/>
      <c r="P2302" s="4">
        <v>42783</v>
      </c>
      <c r="Q2302" s="3" t="s">
        <v>27</v>
      </c>
      <c r="R2302" s="3" t="s">
        <v>28</v>
      </c>
      <c r="S2302" s="3" t="s">
        <v>29</v>
      </c>
      <c r="T2302" s="5">
        <v>1516.28</v>
      </c>
      <c r="U2302" s="3">
        <v>653.82000000000005</v>
      </c>
      <c r="V2302" s="3">
        <v>603.78</v>
      </c>
      <c r="W2302" s="3">
        <v>258.68</v>
      </c>
    </row>
    <row r="2303" spans="1:23" ht="60.75">
      <c r="A2303" s="3" t="s">
        <v>23</v>
      </c>
      <c r="B2303" s="3" t="s">
        <v>24</v>
      </c>
      <c r="C2303" s="3" t="s">
        <v>35</v>
      </c>
      <c r="D2303" s="3" t="s">
        <v>39</v>
      </c>
      <c r="E2303" s="3" t="s">
        <v>30</v>
      </c>
      <c r="F2303" s="3" t="s">
        <v>84</v>
      </c>
      <c r="G2303" s="3">
        <v>2016</v>
      </c>
      <c r="H2303" s="3" t="str">
        <f>CONCATENATE("64240244406")</f>
        <v>64240244406</v>
      </c>
      <c r="I2303" s="3" t="s">
        <v>25</v>
      </c>
      <c r="J2303" s="3" t="s">
        <v>26</v>
      </c>
      <c r="K2303" s="3" t="str">
        <f t="shared" si="70"/>
        <v/>
      </c>
      <c r="L2303" s="3" t="str">
        <f>CONCATENATE("11 11.2 4b")</f>
        <v>11 11.2 4b</v>
      </c>
      <c r="M2303" s="3" t="str">
        <f>CONCATENATE("CRTLCA87R48D451W")</f>
        <v>CRTLCA87R48D451W</v>
      </c>
      <c r="N2303" s="3" t="s">
        <v>2262</v>
      </c>
      <c r="O2303" s="3"/>
      <c r="P2303" s="4">
        <v>42783</v>
      </c>
      <c r="Q2303" s="3" t="s">
        <v>27</v>
      </c>
      <c r="R2303" s="3" t="s">
        <v>28</v>
      </c>
      <c r="S2303" s="3" t="s">
        <v>29</v>
      </c>
      <c r="T2303" s="5">
        <v>5323.28</v>
      </c>
      <c r="U2303" s="5">
        <v>2295.4</v>
      </c>
      <c r="V2303" s="5">
        <v>2119.73</v>
      </c>
      <c r="W2303" s="3">
        <v>908.15</v>
      </c>
    </row>
    <row r="2304" spans="1:23" ht="36.75">
      <c r="A2304" s="3" t="s">
        <v>23</v>
      </c>
      <c r="B2304" s="3" t="s">
        <v>24</v>
      </c>
      <c r="C2304" s="3" t="s">
        <v>35</v>
      </c>
      <c r="D2304" s="3" t="s">
        <v>48</v>
      </c>
      <c r="E2304" s="3" t="s">
        <v>30</v>
      </c>
      <c r="F2304" s="3" t="s">
        <v>91</v>
      </c>
      <c r="G2304" s="3">
        <v>2016</v>
      </c>
      <c r="H2304" s="3" t="str">
        <f>CONCATENATE("64210595019")</f>
        <v>64210595019</v>
      </c>
      <c r="I2304" s="3" t="s">
        <v>25</v>
      </c>
      <c r="J2304" s="3" t="s">
        <v>26</v>
      </c>
      <c r="K2304" s="3" t="str">
        <f t="shared" si="70"/>
        <v/>
      </c>
      <c r="L2304" s="3" t="str">
        <f>CONCATENATE("13 13.1 4a")</f>
        <v>13 13.1 4a</v>
      </c>
      <c r="M2304" s="3" t="str">
        <f>CONCATENATE("00395920432")</f>
        <v>00395920432</v>
      </c>
      <c r="N2304" s="3" t="s">
        <v>2263</v>
      </c>
      <c r="O2304" s="3"/>
      <c r="P2304" s="4">
        <v>42783</v>
      </c>
      <c r="Q2304" s="3" t="s">
        <v>27</v>
      </c>
      <c r="R2304" s="3" t="s">
        <v>28</v>
      </c>
      <c r="S2304" s="3" t="s">
        <v>29</v>
      </c>
      <c r="T2304" s="5">
        <v>3906.41</v>
      </c>
      <c r="U2304" s="5">
        <v>1684.44</v>
      </c>
      <c r="V2304" s="5">
        <v>1555.53</v>
      </c>
      <c r="W2304" s="3">
        <v>666.44</v>
      </c>
    </row>
    <row r="2305" spans="1:23" ht="60.75">
      <c r="A2305" s="3" t="s">
        <v>23</v>
      </c>
      <c r="B2305" s="3" t="s">
        <v>24</v>
      </c>
      <c r="C2305" s="3" t="s">
        <v>35</v>
      </c>
      <c r="D2305" s="3" t="s">
        <v>36</v>
      </c>
      <c r="E2305" s="3" t="s">
        <v>42</v>
      </c>
      <c r="F2305" s="3" t="s">
        <v>42</v>
      </c>
      <c r="G2305" s="3">
        <v>2016</v>
      </c>
      <c r="H2305" s="3" t="str">
        <f>CONCATENATE("64240530796")</f>
        <v>64240530796</v>
      </c>
      <c r="I2305" s="3" t="s">
        <v>25</v>
      </c>
      <c r="J2305" s="3" t="s">
        <v>26</v>
      </c>
      <c r="K2305" s="3" t="str">
        <f t="shared" si="70"/>
        <v/>
      </c>
      <c r="L2305" s="3" t="str">
        <f t="shared" ref="L2305:L2310" si="72">CONCATENATE("11 11.2 4b")</f>
        <v>11 11.2 4b</v>
      </c>
      <c r="M2305" s="3" t="str">
        <f>CONCATENATE("PGGVLR56P26F205Y")</f>
        <v>PGGVLR56P26F205Y</v>
      </c>
      <c r="N2305" s="3" t="s">
        <v>2264</v>
      </c>
      <c r="O2305" s="3"/>
      <c r="P2305" s="4">
        <v>42783</v>
      </c>
      <c r="Q2305" s="3" t="s">
        <v>27</v>
      </c>
      <c r="R2305" s="3" t="s">
        <v>28</v>
      </c>
      <c r="S2305" s="3" t="s">
        <v>29</v>
      </c>
      <c r="T2305" s="5">
        <v>1841.77</v>
      </c>
      <c r="U2305" s="3">
        <v>794.17</v>
      </c>
      <c r="V2305" s="3">
        <v>733.39</v>
      </c>
      <c r="W2305" s="3">
        <v>314.20999999999998</v>
      </c>
    </row>
    <row r="2306" spans="1:23" ht="60.75">
      <c r="A2306" s="3" t="s">
        <v>23</v>
      </c>
      <c r="B2306" s="3" t="s">
        <v>24</v>
      </c>
      <c r="C2306" s="3" t="s">
        <v>35</v>
      </c>
      <c r="D2306" s="3" t="s">
        <v>48</v>
      </c>
      <c r="E2306" s="3" t="s">
        <v>49</v>
      </c>
      <c r="F2306" s="3" t="s">
        <v>50</v>
      </c>
      <c r="G2306" s="3">
        <v>2016</v>
      </c>
      <c r="H2306" s="3" t="str">
        <f>CONCATENATE("64240249769")</f>
        <v>64240249769</v>
      </c>
      <c r="I2306" s="3" t="s">
        <v>25</v>
      </c>
      <c r="J2306" s="3" t="s">
        <v>26</v>
      </c>
      <c r="K2306" s="3" t="str">
        <f t="shared" si="70"/>
        <v/>
      </c>
      <c r="L2306" s="3" t="str">
        <f t="shared" si="72"/>
        <v>11 11.2 4b</v>
      </c>
      <c r="M2306" s="3" t="str">
        <f>CONCATENATE("RTNGNN54E24E694E")</f>
        <v>RTNGNN54E24E694E</v>
      </c>
      <c r="N2306" s="3" t="s">
        <v>2265</v>
      </c>
      <c r="O2306" s="3"/>
      <c r="P2306" s="4">
        <v>42783</v>
      </c>
      <c r="Q2306" s="3" t="s">
        <v>27</v>
      </c>
      <c r="R2306" s="3" t="s">
        <v>28</v>
      </c>
      <c r="S2306" s="3" t="s">
        <v>29</v>
      </c>
      <c r="T2306" s="3">
        <v>793.87</v>
      </c>
      <c r="U2306" s="3">
        <v>342.32</v>
      </c>
      <c r="V2306" s="3">
        <v>316.12</v>
      </c>
      <c r="W2306" s="3">
        <v>135.43</v>
      </c>
    </row>
    <row r="2307" spans="1:23" ht="60.75">
      <c r="A2307" s="3" t="s">
        <v>23</v>
      </c>
      <c r="B2307" s="3" t="s">
        <v>24</v>
      </c>
      <c r="C2307" s="3" t="s">
        <v>35</v>
      </c>
      <c r="D2307" s="3" t="s">
        <v>43</v>
      </c>
      <c r="E2307" s="3" t="s">
        <v>30</v>
      </c>
      <c r="F2307" s="3" t="s">
        <v>109</v>
      </c>
      <c r="G2307" s="3">
        <v>2016</v>
      </c>
      <c r="H2307" s="3" t="str">
        <f>CONCATENATE("64240764577")</f>
        <v>64240764577</v>
      </c>
      <c r="I2307" s="3" t="s">
        <v>25</v>
      </c>
      <c r="J2307" s="3" t="s">
        <v>26</v>
      </c>
      <c r="K2307" s="3" t="str">
        <f t="shared" si="70"/>
        <v/>
      </c>
      <c r="L2307" s="3" t="str">
        <f t="shared" si="72"/>
        <v>11 11.2 4b</v>
      </c>
      <c r="M2307" s="3" t="str">
        <f>CONCATENATE("SRFGZZ53A29F589B")</f>
        <v>SRFGZZ53A29F589B</v>
      </c>
      <c r="N2307" s="3" t="s">
        <v>2266</v>
      </c>
      <c r="O2307" s="3"/>
      <c r="P2307" s="4">
        <v>42783</v>
      </c>
      <c r="Q2307" s="3" t="s">
        <v>27</v>
      </c>
      <c r="R2307" s="3" t="s">
        <v>28</v>
      </c>
      <c r="S2307" s="3" t="s">
        <v>29</v>
      </c>
      <c r="T2307" s="5">
        <v>1857.34</v>
      </c>
      <c r="U2307" s="3">
        <v>800.89</v>
      </c>
      <c r="V2307" s="3">
        <v>739.59</v>
      </c>
      <c r="W2307" s="3">
        <v>316.86</v>
      </c>
    </row>
    <row r="2308" spans="1:23" ht="60.75">
      <c r="A2308" s="3" t="s">
        <v>23</v>
      </c>
      <c r="B2308" s="3" t="s">
        <v>24</v>
      </c>
      <c r="C2308" s="3" t="s">
        <v>35</v>
      </c>
      <c r="D2308" s="3" t="s">
        <v>48</v>
      </c>
      <c r="E2308" s="3" t="s">
        <v>49</v>
      </c>
      <c r="F2308" s="3" t="s">
        <v>50</v>
      </c>
      <c r="G2308" s="3">
        <v>2016</v>
      </c>
      <c r="H2308" s="3" t="str">
        <f>CONCATENATE("64240369047")</f>
        <v>64240369047</v>
      </c>
      <c r="I2308" s="3" t="s">
        <v>31</v>
      </c>
      <c r="J2308" s="3" t="s">
        <v>26</v>
      </c>
      <c r="K2308" s="3" t="str">
        <f t="shared" si="70"/>
        <v/>
      </c>
      <c r="L2308" s="3" t="str">
        <f t="shared" si="72"/>
        <v>11 11.2 4b</v>
      </c>
      <c r="M2308" s="3" t="str">
        <f>CONCATENATE("BLLMLA71A30I156E")</f>
        <v>BLLMLA71A30I156E</v>
      </c>
      <c r="N2308" s="3" t="s">
        <v>2267</v>
      </c>
      <c r="O2308" s="3"/>
      <c r="P2308" s="4">
        <v>42783</v>
      </c>
      <c r="Q2308" s="3" t="s">
        <v>27</v>
      </c>
      <c r="R2308" s="3" t="s">
        <v>28</v>
      </c>
      <c r="S2308" s="3" t="s">
        <v>29</v>
      </c>
      <c r="T2308" s="5">
        <v>1765.09</v>
      </c>
      <c r="U2308" s="3">
        <v>761.11</v>
      </c>
      <c r="V2308" s="3">
        <v>702.86</v>
      </c>
      <c r="W2308" s="3">
        <v>301.12</v>
      </c>
    </row>
    <row r="2309" spans="1:23" ht="36.75">
      <c r="A2309" s="3" t="s">
        <v>23</v>
      </c>
      <c r="B2309" s="3" t="s">
        <v>24</v>
      </c>
      <c r="C2309" s="3" t="s">
        <v>35</v>
      </c>
      <c r="D2309" s="3" t="s">
        <v>39</v>
      </c>
      <c r="E2309" s="3" t="s">
        <v>33</v>
      </c>
      <c r="F2309" s="3" t="s">
        <v>498</v>
      </c>
      <c r="G2309" s="3">
        <v>2016</v>
      </c>
      <c r="H2309" s="3" t="str">
        <f>CONCATENATE("64240310538")</f>
        <v>64240310538</v>
      </c>
      <c r="I2309" s="3" t="s">
        <v>25</v>
      </c>
      <c r="J2309" s="3" t="s">
        <v>26</v>
      </c>
      <c r="K2309" s="3" t="str">
        <f t="shared" si="70"/>
        <v/>
      </c>
      <c r="L2309" s="3" t="str">
        <f t="shared" si="72"/>
        <v>11 11.2 4b</v>
      </c>
      <c r="M2309" s="3" t="str">
        <f>CONCATENATE("02200520423")</f>
        <v>02200520423</v>
      </c>
      <c r="N2309" s="3" t="s">
        <v>2268</v>
      </c>
      <c r="O2309" s="3"/>
      <c r="P2309" s="4">
        <v>42783</v>
      </c>
      <c r="Q2309" s="3" t="s">
        <v>27</v>
      </c>
      <c r="R2309" s="3" t="s">
        <v>28</v>
      </c>
      <c r="S2309" s="3" t="s">
        <v>29</v>
      </c>
      <c r="T2309" s="5">
        <v>11560.64</v>
      </c>
      <c r="U2309" s="5">
        <v>4984.95</v>
      </c>
      <c r="V2309" s="5">
        <v>4603.45</v>
      </c>
      <c r="W2309" s="5">
        <v>1972.24</v>
      </c>
    </row>
    <row r="2310" spans="1:23" ht="36.75">
      <c r="A2310" s="3" t="s">
        <v>23</v>
      </c>
      <c r="B2310" s="3" t="s">
        <v>24</v>
      </c>
      <c r="C2310" s="3" t="s">
        <v>35</v>
      </c>
      <c r="D2310" s="3" t="s">
        <v>43</v>
      </c>
      <c r="E2310" s="3" t="s">
        <v>30</v>
      </c>
      <c r="F2310" s="3" t="s">
        <v>533</v>
      </c>
      <c r="G2310" s="3">
        <v>2016</v>
      </c>
      <c r="H2310" s="3" t="str">
        <f>CONCATENATE("64240598777")</f>
        <v>64240598777</v>
      </c>
      <c r="I2310" s="3" t="s">
        <v>25</v>
      </c>
      <c r="J2310" s="3" t="s">
        <v>26</v>
      </c>
      <c r="K2310" s="3" t="str">
        <f t="shared" si="70"/>
        <v/>
      </c>
      <c r="L2310" s="3" t="str">
        <f t="shared" si="72"/>
        <v>11 11.2 4b</v>
      </c>
      <c r="M2310" s="3" t="str">
        <f>CONCATENATE("02253870410")</f>
        <v>02253870410</v>
      </c>
      <c r="N2310" s="3" t="s">
        <v>823</v>
      </c>
      <c r="O2310" s="3"/>
      <c r="P2310" s="4">
        <v>42783</v>
      </c>
      <c r="Q2310" s="3" t="s">
        <v>27</v>
      </c>
      <c r="R2310" s="3" t="s">
        <v>28</v>
      </c>
      <c r="S2310" s="3" t="s">
        <v>29</v>
      </c>
      <c r="T2310" s="5">
        <v>17468.55</v>
      </c>
      <c r="U2310" s="5">
        <v>7532.44</v>
      </c>
      <c r="V2310" s="5">
        <v>6955.98</v>
      </c>
      <c r="W2310" s="5">
        <v>2980.13</v>
      </c>
    </row>
    <row r="2311" spans="1:23" ht="60.75">
      <c r="A2311" s="3" t="s">
        <v>23</v>
      </c>
      <c r="B2311" s="3" t="s">
        <v>24</v>
      </c>
      <c r="C2311" s="3" t="s">
        <v>35</v>
      </c>
      <c r="D2311" s="3" t="s">
        <v>48</v>
      </c>
      <c r="E2311" s="3" t="s">
        <v>30</v>
      </c>
      <c r="F2311" s="3" t="s">
        <v>91</v>
      </c>
      <c r="G2311" s="3">
        <v>2016</v>
      </c>
      <c r="H2311" s="3" t="str">
        <f>CONCATENATE("64210494403")</f>
        <v>64210494403</v>
      </c>
      <c r="I2311" s="3" t="s">
        <v>25</v>
      </c>
      <c r="J2311" s="3" t="s">
        <v>26</v>
      </c>
      <c r="K2311" s="3" t="str">
        <f t="shared" si="70"/>
        <v/>
      </c>
      <c r="L2311" s="3" t="str">
        <f>CONCATENATE("13 13.1 4a")</f>
        <v>13 13.1 4a</v>
      </c>
      <c r="M2311" s="3" t="str">
        <f>CONCATENATE("STFNCL55C28B474N")</f>
        <v>STFNCL55C28B474N</v>
      </c>
      <c r="N2311" s="3" t="s">
        <v>2269</v>
      </c>
      <c r="O2311" s="3"/>
      <c r="P2311" s="4">
        <v>42783</v>
      </c>
      <c r="Q2311" s="3" t="s">
        <v>27</v>
      </c>
      <c r="R2311" s="3" t="s">
        <v>28</v>
      </c>
      <c r="S2311" s="3" t="s">
        <v>29</v>
      </c>
      <c r="T2311" s="5">
        <v>3645.24</v>
      </c>
      <c r="U2311" s="5">
        <v>1571.83</v>
      </c>
      <c r="V2311" s="5">
        <v>1451.53</v>
      </c>
      <c r="W2311" s="3">
        <v>621.88</v>
      </c>
    </row>
    <row r="2312" spans="1:23" ht="60.75">
      <c r="A2312" s="3" t="s">
        <v>23</v>
      </c>
      <c r="B2312" s="3" t="s">
        <v>24</v>
      </c>
      <c r="C2312" s="3" t="s">
        <v>35</v>
      </c>
      <c r="D2312" s="3" t="s">
        <v>36</v>
      </c>
      <c r="E2312" s="3" t="s">
        <v>59</v>
      </c>
      <c r="F2312" s="3" t="s">
        <v>62</v>
      </c>
      <c r="G2312" s="3">
        <v>2016</v>
      </c>
      <c r="H2312" s="3" t="str">
        <f>CONCATENATE("64240663977")</f>
        <v>64240663977</v>
      </c>
      <c r="I2312" s="3" t="s">
        <v>25</v>
      </c>
      <c r="J2312" s="3" t="s">
        <v>26</v>
      </c>
      <c r="K2312" s="3" t="str">
        <f t="shared" si="70"/>
        <v/>
      </c>
      <c r="L2312" s="3" t="str">
        <f>CONCATENATE("11 11.2 4b")</f>
        <v>11 11.2 4b</v>
      </c>
      <c r="M2312" s="3" t="str">
        <f>CONCATENATE("CRRCST87A16H769B")</f>
        <v>CRRCST87A16H769B</v>
      </c>
      <c r="N2312" s="3" t="s">
        <v>2270</v>
      </c>
      <c r="O2312" s="3"/>
      <c r="P2312" s="4">
        <v>42783</v>
      </c>
      <c r="Q2312" s="3" t="s">
        <v>27</v>
      </c>
      <c r="R2312" s="3" t="s">
        <v>28</v>
      </c>
      <c r="S2312" s="3" t="s">
        <v>29</v>
      </c>
      <c r="T2312" s="5">
        <v>19017.12</v>
      </c>
      <c r="U2312" s="5">
        <v>8200.18</v>
      </c>
      <c r="V2312" s="5">
        <v>7572.62</v>
      </c>
      <c r="W2312" s="5">
        <v>3244.32</v>
      </c>
    </row>
    <row r="2313" spans="1:23" ht="72.75">
      <c r="A2313" s="3" t="s">
        <v>23</v>
      </c>
      <c r="B2313" s="3" t="s">
        <v>24</v>
      </c>
      <c r="C2313" s="3" t="s">
        <v>35</v>
      </c>
      <c r="D2313" s="3" t="s">
        <v>39</v>
      </c>
      <c r="E2313" s="3" t="s">
        <v>30</v>
      </c>
      <c r="F2313" s="3" t="s">
        <v>285</v>
      </c>
      <c r="G2313" s="3">
        <v>2016</v>
      </c>
      <c r="H2313" s="3" t="str">
        <f>CONCATENATE("64240594107")</f>
        <v>64240594107</v>
      </c>
      <c r="I2313" s="3" t="s">
        <v>25</v>
      </c>
      <c r="J2313" s="3" t="s">
        <v>26</v>
      </c>
      <c r="K2313" s="3" t="str">
        <f t="shared" si="70"/>
        <v/>
      </c>
      <c r="L2313" s="3" t="str">
        <f>CONCATENATE("11 11.2 4b")</f>
        <v>11 11.2 4b</v>
      </c>
      <c r="M2313" s="3" t="str">
        <f>CONCATENATE("LSADNI31D15D007A")</f>
        <v>LSADNI31D15D007A</v>
      </c>
      <c r="N2313" s="3" t="s">
        <v>2271</v>
      </c>
      <c r="O2313" s="3"/>
      <c r="P2313" s="4">
        <v>42783</v>
      </c>
      <c r="Q2313" s="3" t="s">
        <v>27</v>
      </c>
      <c r="R2313" s="3" t="s">
        <v>28</v>
      </c>
      <c r="S2313" s="3" t="s">
        <v>29</v>
      </c>
      <c r="T2313" s="5">
        <v>1872.87</v>
      </c>
      <c r="U2313" s="3">
        <v>807.58</v>
      </c>
      <c r="V2313" s="3">
        <v>745.78</v>
      </c>
      <c r="W2313" s="3">
        <v>319.51</v>
      </c>
    </row>
    <row r="2314" spans="1:23" ht="60.75">
      <c r="A2314" s="3" t="s">
        <v>23</v>
      </c>
      <c r="B2314" s="3" t="s">
        <v>24</v>
      </c>
      <c r="C2314" s="3" t="s">
        <v>35</v>
      </c>
      <c r="D2314" s="3" t="s">
        <v>36</v>
      </c>
      <c r="E2314" s="3" t="s">
        <v>42</v>
      </c>
      <c r="F2314" s="3" t="s">
        <v>42</v>
      </c>
      <c r="G2314" s="3">
        <v>2016</v>
      </c>
      <c r="H2314" s="3" t="str">
        <f>CONCATENATE("64240702338")</f>
        <v>64240702338</v>
      </c>
      <c r="I2314" s="3" t="s">
        <v>25</v>
      </c>
      <c r="J2314" s="3" t="s">
        <v>26</v>
      </c>
      <c r="K2314" s="3" t="str">
        <f t="shared" si="70"/>
        <v/>
      </c>
      <c r="L2314" s="3" t="str">
        <f>CONCATENATE("11 11.1 4b")</f>
        <v>11 11.1 4b</v>
      </c>
      <c r="M2314" s="3" t="str">
        <f>CONCATENATE("BGLRRT78M03I324A")</f>
        <v>BGLRRT78M03I324A</v>
      </c>
      <c r="N2314" s="3" t="s">
        <v>2272</v>
      </c>
      <c r="O2314" s="3"/>
      <c r="P2314" s="4">
        <v>42783</v>
      </c>
      <c r="Q2314" s="3" t="s">
        <v>27</v>
      </c>
      <c r="R2314" s="3" t="s">
        <v>28</v>
      </c>
      <c r="S2314" s="3" t="s">
        <v>29</v>
      </c>
      <c r="T2314" s="5">
        <v>1319.43</v>
      </c>
      <c r="U2314" s="3">
        <v>568.94000000000005</v>
      </c>
      <c r="V2314" s="3">
        <v>525.4</v>
      </c>
      <c r="W2314" s="3">
        <v>225.09</v>
      </c>
    </row>
    <row r="2315" spans="1:23" ht="60.75">
      <c r="A2315" s="3" t="s">
        <v>23</v>
      </c>
      <c r="B2315" s="3" t="s">
        <v>24</v>
      </c>
      <c r="C2315" s="3" t="s">
        <v>35</v>
      </c>
      <c r="D2315" s="3" t="s">
        <v>36</v>
      </c>
      <c r="E2315" s="3" t="s">
        <v>59</v>
      </c>
      <c r="F2315" s="3" t="s">
        <v>62</v>
      </c>
      <c r="G2315" s="3">
        <v>2016</v>
      </c>
      <c r="H2315" s="3" t="str">
        <f>CONCATENATE("64240370433")</f>
        <v>64240370433</v>
      </c>
      <c r="I2315" s="3" t="s">
        <v>25</v>
      </c>
      <c r="J2315" s="3" t="s">
        <v>26</v>
      </c>
      <c r="K2315" s="3" t="str">
        <f t="shared" si="70"/>
        <v/>
      </c>
      <c r="L2315" s="3" t="str">
        <f>CONCATENATE("11 11.2 4b")</f>
        <v>11 11.2 4b</v>
      </c>
      <c r="M2315" s="3" t="str">
        <f>CONCATENATE("PNNGPP52C13F415M")</f>
        <v>PNNGPP52C13F415M</v>
      </c>
      <c r="N2315" s="3" t="s">
        <v>2273</v>
      </c>
      <c r="O2315" s="3"/>
      <c r="P2315" s="4">
        <v>42783</v>
      </c>
      <c r="Q2315" s="3" t="s">
        <v>27</v>
      </c>
      <c r="R2315" s="3" t="s">
        <v>28</v>
      </c>
      <c r="S2315" s="3" t="s">
        <v>29</v>
      </c>
      <c r="T2315" s="5">
        <v>1356.74</v>
      </c>
      <c r="U2315" s="3">
        <v>585.03</v>
      </c>
      <c r="V2315" s="3">
        <v>540.25</v>
      </c>
      <c r="W2315" s="3">
        <v>231.46</v>
      </c>
    </row>
    <row r="2316" spans="1:23" ht="36.75">
      <c r="A2316" s="3" t="s">
        <v>23</v>
      </c>
      <c r="B2316" s="3" t="s">
        <v>24</v>
      </c>
      <c r="C2316" s="3" t="s">
        <v>35</v>
      </c>
      <c r="D2316" s="3" t="s">
        <v>36</v>
      </c>
      <c r="E2316" s="3" t="s">
        <v>30</v>
      </c>
      <c r="F2316" s="3" t="s">
        <v>37</v>
      </c>
      <c r="G2316" s="3">
        <v>2016</v>
      </c>
      <c r="H2316" s="3" t="str">
        <f>CONCATENATE("64240540811")</f>
        <v>64240540811</v>
      </c>
      <c r="I2316" s="3" t="s">
        <v>25</v>
      </c>
      <c r="J2316" s="3" t="s">
        <v>26</v>
      </c>
      <c r="K2316" s="3" t="str">
        <f t="shared" si="70"/>
        <v/>
      </c>
      <c r="L2316" s="3" t="str">
        <f>CONCATENATE("10 10.1 4b")</f>
        <v>10 10.1 4b</v>
      </c>
      <c r="M2316" s="3" t="str">
        <f>CONCATENATE("02275340442")</f>
        <v>02275340442</v>
      </c>
      <c r="N2316" s="3" t="s">
        <v>2274</v>
      </c>
      <c r="O2316" s="3"/>
      <c r="P2316" s="4">
        <v>42783</v>
      </c>
      <c r="Q2316" s="3" t="s">
        <v>27</v>
      </c>
      <c r="R2316" s="3" t="s">
        <v>28</v>
      </c>
      <c r="S2316" s="3" t="s">
        <v>29</v>
      </c>
      <c r="T2316" s="5">
        <v>2318.17</v>
      </c>
      <c r="U2316" s="3">
        <v>999.59</v>
      </c>
      <c r="V2316" s="3">
        <v>923.1</v>
      </c>
      <c r="W2316" s="3">
        <v>395.48</v>
      </c>
    </row>
    <row r="2317" spans="1:23" ht="60.75">
      <c r="A2317" s="3" t="s">
        <v>23</v>
      </c>
      <c r="B2317" s="3" t="s">
        <v>24</v>
      </c>
      <c r="C2317" s="3" t="s">
        <v>35</v>
      </c>
      <c r="D2317" s="3" t="s">
        <v>48</v>
      </c>
      <c r="E2317" s="3" t="s">
        <v>33</v>
      </c>
      <c r="F2317" s="3" t="s">
        <v>95</v>
      </c>
      <c r="G2317" s="3">
        <v>2016</v>
      </c>
      <c r="H2317" s="3" t="str">
        <f>CONCATENATE("64240427225")</f>
        <v>64240427225</v>
      </c>
      <c r="I2317" s="3" t="s">
        <v>25</v>
      </c>
      <c r="J2317" s="3" t="s">
        <v>26</v>
      </c>
      <c r="K2317" s="3" t="str">
        <f t="shared" si="70"/>
        <v/>
      </c>
      <c r="L2317" s="3" t="str">
        <f>CONCATENATE("11 11.2 4b")</f>
        <v>11 11.2 4b</v>
      </c>
      <c r="M2317" s="3" t="str">
        <f>CONCATENATE("FLNVNT79T50D542T")</f>
        <v>FLNVNT79T50D542T</v>
      </c>
      <c r="N2317" s="3" t="s">
        <v>2275</v>
      </c>
      <c r="O2317" s="3"/>
      <c r="P2317" s="4">
        <v>42783</v>
      </c>
      <c r="Q2317" s="3" t="s">
        <v>27</v>
      </c>
      <c r="R2317" s="3" t="s">
        <v>28</v>
      </c>
      <c r="S2317" s="3" t="s">
        <v>29</v>
      </c>
      <c r="T2317" s="5">
        <v>2752.5</v>
      </c>
      <c r="U2317" s="5">
        <v>1186.8800000000001</v>
      </c>
      <c r="V2317" s="5">
        <v>1096.05</v>
      </c>
      <c r="W2317" s="3">
        <v>469.57</v>
      </c>
    </row>
    <row r="2318" spans="1:23" ht="60.75">
      <c r="A2318" s="3" t="s">
        <v>23</v>
      </c>
      <c r="B2318" s="3" t="s">
        <v>24</v>
      </c>
      <c r="C2318" s="3" t="s">
        <v>35</v>
      </c>
      <c r="D2318" s="3" t="s">
        <v>39</v>
      </c>
      <c r="E2318" s="3" t="s">
        <v>32</v>
      </c>
      <c r="F2318" s="3" t="s">
        <v>117</v>
      </c>
      <c r="G2318" s="3">
        <v>2016</v>
      </c>
      <c r="H2318" s="3" t="str">
        <f>CONCATENATE("64240485660")</f>
        <v>64240485660</v>
      </c>
      <c r="I2318" s="3" t="s">
        <v>25</v>
      </c>
      <c r="J2318" s="3" t="s">
        <v>26</v>
      </c>
      <c r="K2318" s="3" t="str">
        <f t="shared" si="70"/>
        <v/>
      </c>
      <c r="L2318" s="3" t="str">
        <f>CONCATENATE("11 11.2 4b")</f>
        <v>11 11.2 4b</v>
      </c>
      <c r="M2318" s="3" t="str">
        <f>CONCATENATE("BRSLRT40A29I608M")</f>
        <v>BRSLRT40A29I608M</v>
      </c>
      <c r="N2318" s="3" t="s">
        <v>2276</v>
      </c>
      <c r="O2318" s="3"/>
      <c r="P2318" s="4">
        <v>42783</v>
      </c>
      <c r="Q2318" s="3" t="s">
        <v>27</v>
      </c>
      <c r="R2318" s="3" t="s">
        <v>28</v>
      </c>
      <c r="S2318" s="3" t="s">
        <v>29</v>
      </c>
      <c r="T2318" s="3">
        <v>782.87</v>
      </c>
      <c r="U2318" s="3">
        <v>337.57</v>
      </c>
      <c r="V2318" s="3">
        <v>311.74</v>
      </c>
      <c r="W2318" s="3">
        <v>133.56</v>
      </c>
    </row>
    <row r="2319" spans="1:23" ht="60.75">
      <c r="A2319" s="3" t="s">
        <v>23</v>
      </c>
      <c r="B2319" s="3" t="s">
        <v>24</v>
      </c>
      <c r="C2319" s="3" t="s">
        <v>35</v>
      </c>
      <c r="D2319" s="3" t="s">
        <v>36</v>
      </c>
      <c r="E2319" s="3" t="s">
        <v>33</v>
      </c>
      <c r="F2319" s="3" t="s">
        <v>89</v>
      </c>
      <c r="G2319" s="3">
        <v>2016</v>
      </c>
      <c r="H2319" s="3" t="str">
        <f>CONCATENATE("64210869273")</f>
        <v>64210869273</v>
      </c>
      <c r="I2319" s="3" t="s">
        <v>25</v>
      </c>
      <c r="J2319" s="3" t="s">
        <v>26</v>
      </c>
      <c r="K2319" s="3" t="str">
        <f t="shared" si="70"/>
        <v/>
      </c>
      <c r="L2319" s="3" t="str">
        <f>CONCATENATE("13 13.1 4a")</f>
        <v>13 13.1 4a</v>
      </c>
      <c r="M2319" s="3" t="str">
        <f>CONCATENATE("CRTDNI72R24L597Z")</f>
        <v>CRTDNI72R24L597Z</v>
      </c>
      <c r="N2319" s="3" t="s">
        <v>2277</v>
      </c>
      <c r="O2319" s="3"/>
      <c r="P2319" s="4">
        <v>42783</v>
      </c>
      <c r="Q2319" s="3" t="s">
        <v>27</v>
      </c>
      <c r="R2319" s="3" t="s">
        <v>28</v>
      </c>
      <c r="S2319" s="3" t="s">
        <v>29</v>
      </c>
      <c r="T2319" s="5">
        <v>5400</v>
      </c>
      <c r="U2319" s="5">
        <v>2328.48</v>
      </c>
      <c r="V2319" s="5">
        <v>2150.2800000000002</v>
      </c>
      <c r="W2319" s="3">
        <v>921.24</v>
      </c>
    </row>
    <row r="2320" spans="1:23" ht="60.75">
      <c r="A2320" s="3" t="s">
        <v>23</v>
      </c>
      <c r="B2320" s="3" t="s">
        <v>24</v>
      </c>
      <c r="C2320" s="3" t="s">
        <v>35</v>
      </c>
      <c r="D2320" s="3" t="s">
        <v>36</v>
      </c>
      <c r="E2320" s="3" t="s">
        <v>30</v>
      </c>
      <c r="F2320" s="3" t="s">
        <v>86</v>
      </c>
      <c r="G2320" s="3">
        <v>2016</v>
      </c>
      <c r="H2320" s="3" t="str">
        <f>CONCATENATE("64210520694")</f>
        <v>64210520694</v>
      </c>
      <c r="I2320" s="3" t="s">
        <v>25</v>
      </c>
      <c r="J2320" s="3" t="s">
        <v>26</v>
      </c>
      <c r="K2320" s="3" t="str">
        <f t="shared" si="70"/>
        <v/>
      </c>
      <c r="L2320" s="3" t="str">
        <f>CONCATENATE("13 13.1 4a")</f>
        <v>13 13.1 4a</v>
      </c>
      <c r="M2320" s="3" t="str">
        <f>CONCATENATE("NGLPRL64T10A462P")</f>
        <v>NGLPRL64T10A462P</v>
      </c>
      <c r="N2320" s="3" t="s">
        <v>2278</v>
      </c>
      <c r="O2320" s="3"/>
      <c r="P2320" s="4">
        <v>42783</v>
      </c>
      <c r="Q2320" s="3" t="s">
        <v>27</v>
      </c>
      <c r="R2320" s="3" t="s">
        <v>28</v>
      </c>
      <c r="S2320" s="3" t="s">
        <v>29</v>
      </c>
      <c r="T2320" s="5">
        <v>1590.16</v>
      </c>
      <c r="U2320" s="3">
        <v>685.68</v>
      </c>
      <c r="V2320" s="3">
        <v>633.20000000000005</v>
      </c>
      <c r="W2320" s="3">
        <v>271.27999999999997</v>
      </c>
    </row>
    <row r="2321" spans="1:23" ht="60.75">
      <c r="A2321" s="3" t="s">
        <v>23</v>
      </c>
      <c r="B2321" s="3" t="s">
        <v>24</v>
      </c>
      <c r="C2321" s="3" t="s">
        <v>35</v>
      </c>
      <c r="D2321" s="3" t="s">
        <v>36</v>
      </c>
      <c r="E2321" s="3" t="s">
        <v>30</v>
      </c>
      <c r="F2321" s="3" t="s">
        <v>37</v>
      </c>
      <c r="G2321" s="3">
        <v>2016</v>
      </c>
      <c r="H2321" s="3" t="str">
        <f>CONCATENATE("64240424347")</f>
        <v>64240424347</v>
      </c>
      <c r="I2321" s="3" t="s">
        <v>25</v>
      </c>
      <c r="J2321" s="3" t="s">
        <v>26</v>
      </c>
      <c r="K2321" s="3" t="str">
        <f t="shared" si="70"/>
        <v/>
      </c>
      <c r="L2321" s="3" t="str">
        <f>CONCATENATE("11 11.2 4b")</f>
        <v>11 11.2 4b</v>
      </c>
      <c r="M2321" s="3" t="str">
        <f>CONCATENATE("DSLTLI65E08F415G")</f>
        <v>DSLTLI65E08F415G</v>
      </c>
      <c r="N2321" s="3" t="s">
        <v>2279</v>
      </c>
      <c r="O2321" s="3"/>
      <c r="P2321" s="4">
        <v>42783</v>
      </c>
      <c r="Q2321" s="3" t="s">
        <v>27</v>
      </c>
      <c r="R2321" s="3" t="s">
        <v>28</v>
      </c>
      <c r="S2321" s="3" t="s">
        <v>29</v>
      </c>
      <c r="T2321" s="5">
        <v>1833.63</v>
      </c>
      <c r="U2321" s="3">
        <v>790.66</v>
      </c>
      <c r="V2321" s="3">
        <v>730.15</v>
      </c>
      <c r="W2321" s="3">
        <v>312.82</v>
      </c>
    </row>
    <row r="2322" spans="1:23" ht="60.75">
      <c r="A2322" s="3" t="s">
        <v>23</v>
      </c>
      <c r="B2322" s="3" t="s">
        <v>24</v>
      </c>
      <c r="C2322" s="3" t="s">
        <v>35</v>
      </c>
      <c r="D2322" s="3" t="s">
        <v>48</v>
      </c>
      <c r="E2322" s="3" t="s">
        <v>49</v>
      </c>
      <c r="F2322" s="3" t="s">
        <v>50</v>
      </c>
      <c r="G2322" s="3">
        <v>2016</v>
      </c>
      <c r="H2322" s="3" t="str">
        <f>CONCATENATE("64211045444")</f>
        <v>64211045444</v>
      </c>
      <c r="I2322" s="3" t="s">
        <v>25</v>
      </c>
      <c r="J2322" s="3" t="s">
        <v>26</v>
      </c>
      <c r="K2322" s="3" t="str">
        <f t="shared" ref="K2322:K2385" si="73">CONCATENATE("")</f>
        <v/>
      </c>
      <c r="L2322" s="3" t="str">
        <f>CONCATENATE("13 13.1 4a")</f>
        <v>13 13.1 4a</v>
      </c>
      <c r="M2322" s="3" t="str">
        <f>CONCATENATE("SCLMRC88D03D024S")</f>
        <v>SCLMRC88D03D024S</v>
      </c>
      <c r="N2322" s="3" t="s">
        <v>624</v>
      </c>
      <c r="O2322" s="3"/>
      <c r="P2322" s="4">
        <v>42783</v>
      </c>
      <c r="Q2322" s="3" t="s">
        <v>27</v>
      </c>
      <c r="R2322" s="3" t="s">
        <v>28</v>
      </c>
      <c r="S2322" s="3" t="s">
        <v>29</v>
      </c>
      <c r="T2322" s="5">
        <v>4406.3999999999996</v>
      </c>
      <c r="U2322" s="5">
        <v>1900.04</v>
      </c>
      <c r="V2322" s="5">
        <v>1754.63</v>
      </c>
      <c r="W2322" s="3">
        <v>751.73</v>
      </c>
    </row>
    <row r="2323" spans="1:23" ht="60.75">
      <c r="A2323" s="3" t="s">
        <v>23</v>
      </c>
      <c r="B2323" s="3" t="s">
        <v>24</v>
      </c>
      <c r="C2323" s="3" t="s">
        <v>35</v>
      </c>
      <c r="D2323" s="3" t="s">
        <v>39</v>
      </c>
      <c r="E2323" s="3" t="s">
        <v>30</v>
      </c>
      <c r="F2323" s="3" t="s">
        <v>533</v>
      </c>
      <c r="G2323" s="3">
        <v>2016</v>
      </c>
      <c r="H2323" s="3" t="str">
        <f>CONCATENATE("64210920142")</f>
        <v>64210920142</v>
      </c>
      <c r="I2323" s="3" t="s">
        <v>25</v>
      </c>
      <c r="J2323" s="3" t="s">
        <v>26</v>
      </c>
      <c r="K2323" s="3" t="str">
        <f t="shared" si="73"/>
        <v/>
      </c>
      <c r="L2323" s="3" t="str">
        <f>CONCATENATE("13 13.1 4a")</f>
        <v>13 13.1 4a</v>
      </c>
      <c r="M2323" s="3" t="str">
        <f>CONCATENATE("GCCMRZ55M07A366S")</f>
        <v>GCCMRZ55M07A366S</v>
      </c>
      <c r="N2323" s="3" t="s">
        <v>2280</v>
      </c>
      <c r="O2323" s="3"/>
      <c r="P2323" s="4">
        <v>42783</v>
      </c>
      <c r="Q2323" s="3" t="s">
        <v>27</v>
      </c>
      <c r="R2323" s="3" t="s">
        <v>28</v>
      </c>
      <c r="S2323" s="3" t="s">
        <v>29</v>
      </c>
      <c r="T2323" s="5">
        <v>1697.79</v>
      </c>
      <c r="U2323" s="3">
        <v>732.09</v>
      </c>
      <c r="V2323" s="3">
        <v>676.06</v>
      </c>
      <c r="W2323" s="3">
        <v>289.64</v>
      </c>
    </row>
    <row r="2324" spans="1:23" ht="60.75">
      <c r="A2324" s="3" t="s">
        <v>23</v>
      </c>
      <c r="B2324" s="3" t="s">
        <v>24</v>
      </c>
      <c r="C2324" s="3" t="s">
        <v>35</v>
      </c>
      <c r="D2324" s="3" t="s">
        <v>39</v>
      </c>
      <c r="E2324" s="3" t="s">
        <v>30</v>
      </c>
      <c r="F2324" s="3" t="s">
        <v>72</v>
      </c>
      <c r="G2324" s="3">
        <v>2016</v>
      </c>
      <c r="H2324" s="3" t="str">
        <f>CONCATENATE("64240568812")</f>
        <v>64240568812</v>
      </c>
      <c r="I2324" s="3" t="s">
        <v>25</v>
      </c>
      <c r="J2324" s="3" t="s">
        <v>26</v>
      </c>
      <c r="K2324" s="3" t="str">
        <f t="shared" si="73"/>
        <v/>
      </c>
      <c r="L2324" s="3" t="str">
        <f>CONCATENATE("11 11.2 4b")</f>
        <v>11 11.2 4b</v>
      </c>
      <c r="M2324" s="3" t="str">
        <f>CONCATENATE("MNCSRA82L55C615G")</f>
        <v>MNCSRA82L55C615G</v>
      </c>
      <c r="N2324" s="3" t="s">
        <v>2281</v>
      </c>
      <c r="O2324" s="3"/>
      <c r="P2324" s="4">
        <v>42783</v>
      </c>
      <c r="Q2324" s="3" t="s">
        <v>27</v>
      </c>
      <c r="R2324" s="3" t="s">
        <v>28</v>
      </c>
      <c r="S2324" s="3" t="s">
        <v>29</v>
      </c>
      <c r="T2324" s="3">
        <v>735.62</v>
      </c>
      <c r="U2324" s="3">
        <v>317.2</v>
      </c>
      <c r="V2324" s="3">
        <v>292.92</v>
      </c>
      <c r="W2324" s="3">
        <v>125.5</v>
      </c>
    </row>
    <row r="2325" spans="1:23" ht="60.75">
      <c r="A2325" s="3" t="s">
        <v>23</v>
      </c>
      <c r="B2325" s="3" t="s">
        <v>24</v>
      </c>
      <c r="C2325" s="3" t="s">
        <v>35</v>
      </c>
      <c r="D2325" s="3" t="s">
        <v>39</v>
      </c>
      <c r="E2325" s="3" t="s">
        <v>32</v>
      </c>
      <c r="F2325" s="3" t="s">
        <v>69</v>
      </c>
      <c r="G2325" s="3">
        <v>2016</v>
      </c>
      <c r="H2325" s="3" t="str">
        <f>CONCATENATE("64240503496")</f>
        <v>64240503496</v>
      </c>
      <c r="I2325" s="3" t="s">
        <v>25</v>
      </c>
      <c r="J2325" s="3" t="s">
        <v>26</v>
      </c>
      <c r="K2325" s="3" t="str">
        <f t="shared" si="73"/>
        <v/>
      </c>
      <c r="L2325" s="3" t="str">
        <f>CONCATENATE("11 11.2 4b")</f>
        <v>11 11.2 4b</v>
      </c>
      <c r="M2325" s="3" t="str">
        <f>CONCATENATE("BRTRRT75S23E388A")</f>
        <v>BRTRRT75S23E388A</v>
      </c>
      <c r="N2325" s="3" t="s">
        <v>2282</v>
      </c>
      <c r="O2325" s="3"/>
      <c r="P2325" s="4">
        <v>42783</v>
      </c>
      <c r="Q2325" s="3" t="s">
        <v>27</v>
      </c>
      <c r="R2325" s="3" t="s">
        <v>28</v>
      </c>
      <c r="S2325" s="3" t="s">
        <v>29</v>
      </c>
      <c r="T2325" s="5">
        <v>3503.9</v>
      </c>
      <c r="U2325" s="5">
        <v>1510.88</v>
      </c>
      <c r="V2325" s="5">
        <v>1395.25</v>
      </c>
      <c r="W2325" s="3">
        <v>597.77</v>
      </c>
    </row>
    <row r="2326" spans="1:23" ht="60.75">
      <c r="A2326" s="3" t="s">
        <v>23</v>
      </c>
      <c r="B2326" s="3" t="s">
        <v>24</v>
      </c>
      <c r="C2326" s="3" t="s">
        <v>35</v>
      </c>
      <c r="D2326" s="3" t="s">
        <v>43</v>
      </c>
      <c r="E2326" s="3" t="s">
        <v>32</v>
      </c>
      <c r="F2326" s="3" t="s">
        <v>335</v>
      </c>
      <c r="G2326" s="3">
        <v>2016</v>
      </c>
      <c r="H2326" s="3" t="str">
        <f>CONCATENATE("64240531554")</f>
        <v>64240531554</v>
      </c>
      <c r="I2326" s="3" t="s">
        <v>25</v>
      </c>
      <c r="J2326" s="3" t="s">
        <v>26</v>
      </c>
      <c r="K2326" s="3" t="str">
        <f t="shared" si="73"/>
        <v/>
      </c>
      <c r="L2326" s="3" t="str">
        <f>CONCATENATE("11 11.1 4b")</f>
        <v>11 11.1 4b</v>
      </c>
      <c r="M2326" s="3" t="str">
        <f>CONCATENATE("FRLMLV64C49C357V")</f>
        <v>FRLMLV64C49C357V</v>
      </c>
      <c r="N2326" s="3" t="s">
        <v>2283</v>
      </c>
      <c r="O2326" s="3"/>
      <c r="P2326" s="4">
        <v>42783</v>
      </c>
      <c r="Q2326" s="3" t="s">
        <v>27</v>
      </c>
      <c r="R2326" s="3" t="s">
        <v>28</v>
      </c>
      <c r="S2326" s="3" t="s">
        <v>29</v>
      </c>
      <c r="T2326" s="5">
        <v>7555.19</v>
      </c>
      <c r="U2326" s="5">
        <v>3257.8</v>
      </c>
      <c r="V2326" s="5">
        <v>3008.48</v>
      </c>
      <c r="W2326" s="5">
        <v>1288.9100000000001</v>
      </c>
    </row>
    <row r="2327" spans="1:23" ht="36.75">
      <c r="A2327" s="3" t="s">
        <v>23</v>
      </c>
      <c r="B2327" s="3" t="s">
        <v>24</v>
      </c>
      <c r="C2327" s="3" t="s">
        <v>35</v>
      </c>
      <c r="D2327" s="3" t="s">
        <v>36</v>
      </c>
      <c r="E2327" s="3" t="s">
        <v>34</v>
      </c>
      <c r="F2327" s="3" t="s">
        <v>273</v>
      </c>
      <c r="G2327" s="3">
        <v>2016</v>
      </c>
      <c r="H2327" s="3" t="str">
        <f>CONCATENATE("64240342051")</f>
        <v>64240342051</v>
      </c>
      <c r="I2327" s="3" t="s">
        <v>25</v>
      </c>
      <c r="J2327" s="3" t="s">
        <v>26</v>
      </c>
      <c r="K2327" s="3" t="str">
        <f t="shared" si="73"/>
        <v/>
      </c>
      <c r="L2327" s="3" t="str">
        <f>CONCATENATE("11 11.2 4b")</f>
        <v>11 11.2 4b</v>
      </c>
      <c r="M2327" s="3" t="str">
        <f>CONCATENATE("01804700449")</f>
        <v>01804700449</v>
      </c>
      <c r="N2327" s="3" t="s">
        <v>2284</v>
      </c>
      <c r="O2327" s="3"/>
      <c r="P2327" s="4">
        <v>42783</v>
      </c>
      <c r="Q2327" s="3" t="s">
        <v>27</v>
      </c>
      <c r="R2327" s="3" t="s">
        <v>28</v>
      </c>
      <c r="S2327" s="3" t="s">
        <v>29</v>
      </c>
      <c r="T2327" s="5">
        <v>30631.200000000001</v>
      </c>
      <c r="U2327" s="5">
        <v>13208.17</v>
      </c>
      <c r="V2327" s="5">
        <v>12197.34</v>
      </c>
      <c r="W2327" s="5">
        <v>5225.6899999999996</v>
      </c>
    </row>
    <row r="2328" spans="1:23" ht="36.75">
      <c r="A2328" s="3" t="s">
        <v>23</v>
      </c>
      <c r="B2328" s="3" t="s">
        <v>24</v>
      </c>
      <c r="C2328" s="3" t="s">
        <v>35</v>
      </c>
      <c r="D2328" s="3" t="s">
        <v>48</v>
      </c>
      <c r="E2328" s="3" t="s">
        <v>30</v>
      </c>
      <c r="F2328" s="3" t="s">
        <v>157</v>
      </c>
      <c r="G2328" s="3">
        <v>2016</v>
      </c>
      <c r="H2328" s="3" t="str">
        <f>CONCATENATE("64240417747")</f>
        <v>64240417747</v>
      </c>
      <c r="I2328" s="3" t="s">
        <v>25</v>
      </c>
      <c r="J2328" s="3" t="s">
        <v>26</v>
      </c>
      <c r="K2328" s="3" t="str">
        <f t="shared" si="73"/>
        <v/>
      </c>
      <c r="L2328" s="3" t="str">
        <f>CONCATENATE("11 11.2 4b")</f>
        <v>11 11.2 4b</v>
      </c>
      <c r="M2328" s="3" t="str">
        <f>CONCATENATE("01675450439")</f>
        <v>01675450439</v>
      </c>
      <c r="N2328" s="3" t="s">
        <v>2285</v>
      </c>
      <c r="O2328" s="3"/>
      <c r="P2328" s="4">
        <v>42783</v>
      </c>
      <c r="Q2328" s="3" t="s">
        <v>27</v>
      </c>
      <c r="R2328" s="3" t="s">
        <v>28</v>
      </c>
      <c r="S2328" s="3" t="s">
        <v>29</v>
      </c>
      <c r="T2328" s="5">
        <v>12842.67</v>
      </c>
      <c r="U2328" s="5">
        <v>5537.76</v>
      </c>
      <c r="V2328" s="5">
        <v>5113.95</v>
      </c>
      <c r="W2328" s="5">
        <v>2190.96</v>
      </c>
    </row>
    <row r="2329" spans="1:23" ht="60.75">
      <c r="A2329" s="3" t="s">
        <v>23</v>
      </c>
      <c r="B2329" s="3" t="s">
        <v>24</v>
      </c>
      <c r="C2329" s="3" t="s">
        <v>35</v>
      </c>
      <c r="D2329" s="3" t="s">
        <v>36</v>
      </c>
      <c r="E2329" s="3" t="s">
        <v>33</v>
      </c>
      <c r="F2329" s="3" t="s">
        <v>192</v>
      </c>
      <c r="G2329" s="3">
        <v>2016</v>
      </c>
      <c r="H2329" s="3" t="str">
        <f>CONCATENATE("64240260212")</f>
        <v>64240260212</v>
      </c>
      <c r="I2329" s="3" t="s">
        <v>25</v>
      </c>
      <c r="J2329" s="3" t="s">
        <v>26</v>
      </c>
      <c r="K2329" s="3" t="str">
        <f t="shared" si="73"/>
        <v/>
      </c>
      <c r="L2329" s="3" t="str">
        <f>CONCATENATE("11 11.2 4b")</f>
        <v>11 11.2 4b</v>
      </c>
      <c r="M2329" s="3" t="str">
        <f>CONCATENATE("FDLPLA67T51H769B")</f>
        <v>FDLPLA67T51H769B</v>
      </c>
      <c r="N2329" s="3" t="s">
        <v>2077</v>
      </c>
      <c r="O2329" s="3"/>
      <c r="P2329" s="4">
        <v>42783</v>
      </c>
      <c r="Q2329" s="3" t="s">
        <v>27</v>
      </c>
      <c r="R2329" s="3" t="s">
        <v>28</v>
      </c>
      <c r="S2329" s="3" t="s">
        <v>29</v>
      </c>
      <c r="T2329" s="5">
        <v>1691.3</v>
      </c>
      <c r="U2329" s="3">
        <v>729.29</v>
      </c>
      <c r="V2329" s="3">
        <v>673.48</v>
      </c>
      <c r="W2329" s="3">
        <v>288.52999999999997</v>
      </c>
    </row>
    <row r="2330" spans="1:23" ht="60.75">
      <c r="A2330" s="3" t="s">
        <v>23</v>
      </c>
      <c r="B2330" s="3" t="s">
        <v>24</v>
      </c>
      <c r="C2330" s="3" t="s">
        <v>35</v>
      </c>
      <c r="D2330" s="3" t="s">
        <v>43</v>
      </c>
      <c r="E2330" s="3" t="s">
        <v>32</v>
      </c>
      <c r="F2330" s="3" t="s">
        <v>575</v>
      </c>
      <c r="G2330" s="3">
        <v>2016</v>
      </c>
      <c r="H2330" s="3" t="str">
        <f>CONCATENATE("64240404729")</f>
        <v>64240404729</v>
      </c>
      <c r="I2330" s="3" t="s">
        <v>25</v>
      </c>
      <c r="J2330" s="3" t="s">
        <v>26</v>
      </c>
      <c r="K2330" s="3" t="str">
        <f t="shared" si="73"/>
        <v/>
      </c>
      <c r="L2330" s="3" t="str">
        <f>CONCATENATE("11 11.1 4b")</f>
        <v>11 11.1 4b</v>
      </c>
      <c r="M2330" s="3" t="str">
        <f>CONCATENATE("MLTRLF79H14D488F")</f>
        <v>MLTRLF79H14D488F</v>
      </c>
      <c r="N2330" s="3" t="s">
        <v>2286</v>
      </c>
      <c r="O2330" s="3"/>
      <c r="P2330" s="4">
        <v>42783</v>
      </c>
      <c r="Q2330" s="3" t="s">
        <v>27</v>
      </c>
      <c r="R2330" s="3" t="s">
        <v>28</v>
      </c>
      <c r="S2330" s="3" t="s">
        <v>29</v>
      </c>
      <c r="T2330" s="5">
        <v>1418.2</v>
      </c>
      <c r="U2330" s="3">
        <v>611.53</v>
      </c>
      <c r="V2330" s="3">
        <v>564.73</v>
      </c>
      <c r="W2330" s="3">
        <v>241.94</v>
      </c>
    </row>
    <row r="2331" spans="1:23" ht="60.75">
      <c r="A2331" s="3" t="s">
        <v>23</v>
      </c>
      <c r="B2331" s="3" t="s">
        <v>24</v>
      </c>
      <c r="C2331" s="3" t="s">
        <v>35</v>
      </c>
      <c r="D2331" s="3" t="s">
        <v>43</v>
      </c>
      <c r="E2331" s="3" t="s">
        <v>32</v>
      </c>
      <c r="F2331" s="3" t="s">
        <v>78</v>
      </c>
      <c r="G2331" s="3">
        <v>2016</v>
      </c>
      <c r="H2331" s="3" t="str">
        <f>CONCATENATE("64240378972")</f>
        <v>64240378972</v>
      </c>
      <c r="I2331" s="3" t="s">
        <v>25</v>
      </c>
      <c r="J2331" s="3" t="s">
        <v>26</v>
      </c>
      <c r="K2331" s="3" t="str">
        <f t="shared" si="73"/>
        <v/>
      </c>
      <c r="L2331" s="3" t="str">
        <f>CONCATENATE("11 11.1 4b")</f>
        <v>11 11.1 4b</v>
      </c>
      <c r="M2331" s="3" t="str">
        <f>CONCATENATE("LLLLCN56C07L500K")</f>
        <v>LLLLCN56C07L500K</v>
      </c>
      <c r="N2331" s="3" t="s">
        <v>2287</v>
      </c>
      <c r="O2331" s="3"/>
      <c r="P2331" s="4">
        <v>42783</v>
      </c>
      <c r="Q2331" s="3" t="s">
        <v>27</v>
      </c>
      <c r="R2331" s="3" t="s">
        <v>28</v>
      </c>
      <c r="S2331" s="3" t="s">
        <v>29</v>
      </c>
      <c r="T2331" s="5">
        <v>8308.9599999999991</v>
      </c>
      <c r="U2331" s="5">
        <v>3582.82</v>
      </c>
      <c r="V2331" s="5">
        <v>3308.63</v>
      </c>
      <c r="W2331" s="5">
        <v>1417.51</v>
      </c>
    </row>
    <row r="2332" spans="1:23" ht="60.75">
      <c r="A2332" s="3" t="s">
        <v>23</v>
      </c>
      <c r="B2332" s="3" t="s">
        <v>24</v>
      </c>
      <c r="C2332" s="3" t="s">
        <v>35</v>
      </c>
      <c r="D2332" s="3" t="s">
        <v>36</v>
      </c>
      <c r="E2332" s="3" t="s">
        <v>30</v>
      </c>
      <c r="F2332" s="3" t="s">
        <v>67</v>
      </c>
      <c r="G2332" s="3">
        <v>2016</v>
      </c>
      <c r="H2332" s="3" t="str">
        <f>CONCATENATE("64240358586")</f>
        <v>64240358586</v>
      </c>
      <c r="I2332" s="3" t="s">
        <v>25</v>
      </c>
      <c r="J2332" s="3" t="s">
        <v>26</v>
      </c>
      <c r="K2332" s="3" t="str">
        <f t="shared" si="73"/>
        <v/>
      </c>
      <c r="L2332" s="3" t="str">
        <f>CONCATENATE("11 11.2 4b")</f>
        <v>11 11.2 4b</v>
      </c>
      <c r="M2332" s="3" t="str">
        <f>CONCATENATE("BRTFRC37L12I324S")</f>
        <v>BRTFRC37L12I324S</v>
      </c>
      <c r="N2332" s="3" t="s">
        <v>2288</v>
      </c>
      <c r="O2332" s="3"/>
      <c r="P2332" s="4">
        <v>42783</v>
      </c>
      <c r="Q2332" s="3" t="s">
        <v>27</v>
      </c>
      <c r="R2332" s="3" t="s">
        <v>28</v>
      </c>
      <c r="S2332" s="3" t="s">
        <v>29</v>
      </c>
      <c r="T2332" s="5">
        <v>3419.37</v>
      </c>
      <c r="U2332" s="5">
        <v>1474.43</v>
      </c>
      <c r="V2332" s="5">
        <v>1361.59</v>
      </c>
      <c r="W2332" s="3">
        <v>583.35</v>
      </c>
    </row>
    <row r="2333" spans="1:23" ht="60.75">
      <c r="A2333" s="3" t="s">
        <v>23</v>
      </c>
      <c r="B2333" s="3" t="s">
        <v>24</v>
      </c>
      <c r="C2333" s="3" t="s">
        <v>35</v>
      </c>
      <c r="D2333" s="3" t="s">
        <v>48</v>
      </c>
      <c r="E2333" s="3" t="s">
        <v>33</v>
      </c>
      <c r="F2333" s="3" t="s">
        <v>212</v>
      </c>
      <c r="G2333" s="3">
        <v>2016</v>
      </c>
      <c r="H2333" s="3" t="str">
        <f>CONCATENATE("64240425047")</f>
        <v>64240425047</v>
      </c>
      <c r="I2333" s="3" t="s">
        <v>31</v>
      </c>
      <c r="J2333" s="3" t="s">
        <v>26</v>
      </c>
      <c r="K2333" s="3" t="str">
        <f t="shared" si="73"/>
        <v/>
      </c>
      <c r="L2333" s="3" t="str">
        <f>CONCATENATE("11 11.2 4b")</f>
        <v>11 11.2 4b</v>
      </c>
      <c r="M2333" s="3" t="str">
        <f>CONCATENATE("CMBCRN45P67I156E")</f>
        <v>CMBCRN45P67I156E</v>
      </c>
      <c r="N2333" s="3" t="s">
        <v>2289</v>
      </c>
      <c r="O2333" s="3"/>
      <c r="P2333" s="4">
        <v>42783</v>
      </c>
      <c r="Q2333" s="3" t="s">
        <v>27</v>
      </c>
      <c r="R2333" s="3" t="s">
        <v>28</v>
      </c>
      <c r="S2333" s="3" t="s">
        <v>29</v>
      </c>
      <c r="T2333" s="5">
        <v>1955.11</v>
      </c>
      <c r="U2333" s="3">
        <v>843.04</v>
      </c>
      <c r="V2333" s="3">
        <v>778.52</v>
      </c>
      <c r="W2333" s="3">
        <v>333.55</v>
      </c>
    </row>
    <row r="2334" spans="1:23" ht="72.75">
      <c r="A2334" s="3" t="s">
        <v>23</v>
      </c>
      <c r="B2334" s="3" t="s">
        <v>24</v>
      </c>
      <c r="C2334" s="3" t="s">
        <v>35</v>
      </c>
      <c r="D2334" s="3" t="s">
        <v>48</v>
      </c>
      <c r="E2334" s="3" t="s">
        <v>30</v>
      </c>
      <c r="F2334" s="3" t="s">
        <v>91</v>
      </c>
      <c r="G2334" s="3">
        <v>2016</v>
      </c>
      <c r="H2334" s="3" t="str">
        <f>CONCATENATE("64210593436")</f>
        <v>64210593436</v>
      </c>
      <c r="I2334" s="3" t="s">
        <v>25</v>
      </c>
      <c r="J2334" s="3" t="s">
        <v>26</v>
      </c>
      <c r="K2334" s="3" t="str">
        <f t="shared" si="73"/>
        <v/>
      </c>
      <c r="L2334" s="3" t="str">
        <f>CONCATENATE("13 13.1 4a")</f>
        <v>13 13.1 4a</v>
      </c>
      <c r="M2334" s="3" t="str">
        <f>CONCATENATE("SNTFNC78R54D653N")</f>
        <v>SNTFNC78R54D653N</v>
      </c>
      <c r="N2334" s="3" t="s">
        <v>448</v>
      </c>
      <c r="O2334" s="3"/>
      <c r="P2334" s="4">
        <v>42783</v>
      </c>
      <c r="Q2334" s="3" t="s">
        <v>27</v>
      </c>
      <c r="R2334" s="3" t="s">
        <v>28</v>
      </c>
      <c r="S2334" s="3" t="s">
        <v>29</v>
      </c>
      <c r="T2334" s="5">
        <v>5400</v>
      </c>
      <c r="U2334" s="5">
        <v>2328.48</v>
      </c>
      <c r="V2334" s="5">
        <v>2150.2800000000002</v>
      </c>
      <c r="W2334" s="3">
        <v>921.24</v>
      </c>
    </row>
    <row r="2335" spans="1:23" ht="36.75">
      <c r="A2335" s="3" t="s">
        <v>23</v>
      </c>
      <c r="B2335" s="3" t="s">
        <v>24</v>
      </c>
      <c r="C2335" s="3" t="s">
        <v>35</v>
      </c>
      <c r="D2335" s="3" t="s">
        <v>48</v>
      </c>
      <c r="E2335" s="3" t="s">
        <v>49</v>
      </c>
      <c r="F2335" s="3" t="s">
        <v>50</v>
      </c>
      <c r="G2335" s="3">
        <v>2016</v>
      </c>
      <c r="H2335" s="3" t="str">
        <f>CONCATENATE("64240498721")</f>
        <v>64240498721</v>
      </c>
      <c r="I2335" s="3" t="s">
        <v>25</v>
      </c>
      <c r="J2335" s="3" t="s">
        <v>26</v>
      </c>
      <c r="K2335" s="3" t="str">
        <f t="shared" si="73"/>
        <v/>
      </c>
      <c r="L2335" s="3" t="str">
        <f>CONCATENATE("11 11.2 4b")</f>
        <v>11 11.2 4b</v>
      </c>
      <c r="M2335" s="3" t="str">
        <f>CONCATENATE("01597000437")</f>
        <v>01597000437</v>
      </c>
      <c r="N2335" s="3" t="s">
        <v>2290</v>
      </c>
      <c r="O2335" s="3"/>
      <c r="P2335" s="4">
        <v>42783</v>
      </c>
      <c r="Q2335" s="3" t="s">
        <v>27</v>
      </c>
      <c r="R2335" s="3" t="s">
        <v>28</v>
      </c>
      <c r="S2335" s="3" t="s">
        <v>29</v>
      </c>
      <c r="T2335" s="5">
        <v>15002.66</v>
      </c>
      <c r="U2335" s="5">
        <v>6469.15</v>
      </c>
      <c r="V2335" s="5">
        <v>5974.06</v>
      </c>
      <c r="W2335" s="5">
        <v>2559.4499999999998</v>
      </c>
    </row>
    <row r="2336" spans="1:23" ht="72.75">
      <c r="A2336" s="3" t="s">
        <v>23</v>
      </c>
      <c r="B2336" s="3" t="s">
        <v>24</v>
      </c>
      <c r="C2336" s="3" t="s">
        <v>35</v>
      </c>
      <c r="D2336" s="3" t="s">
        <v>36</v>
      </c>
      <c r="E2336" s="3" t="s">
        <v>32</v>
      </c>
      <c r="F2336" s="3" t="s">
        <v>208</v>
      </c>
      <c r="G2336" s="3">
        <v>2016</v>
      </c>
      <c r="H2336" s="3" t="str">
        <f>CONCATENATE("64240237574")</f>
        <v>64240237574</v>
      </c>
      <c r="I2336" s="3" t="s">
        <v>25</v>
      </c>
      <c r="J2336" s="3" t="s">
        <v>26</v>
      </c>
      <c r="K2336" s="3" t="str">
        <f t="shared" si="73"/>
        <v/>
      </c>
      <c r="L2336" s="3" t="str">
        <f>CONCATENATE("11 11.2 4b")</f>
        <v>11 11.2 4b</v>
      </c>
      <c r="M2336" s="3" t="str">
        <f>CONCATENATE("FLPGPP56H04A047O")</f>
        <v>FLPGPP56H04A047O</v>
      </c>
      <c r="N2336" s="3" t="s">
        <v>1858</v>
      </c>
      <c r="O2336" s="3"/>
      <c r="P2336" s="4">
        <v>42783</v>
      </c>
      <c r="Q2336" s="3" t="s">
        <v>27</v>
      </c>
      <c r="R2336" s="3" t="s">
        <v>28</v>
      </c>
      <c r="S2336" s="3" t="s">
        <v>29</v>
      </c>
      <c r="T2336" s="5">
        <v>1503.43</v>
      </c>
      <c r="U2336" s="3">
        <v>648.28</v>
      </c>
      <c r="V2336" s="3">
        <v>598.66999999999996</v>
      </c>
      <c r="W2336" s="3">
        <v>256.48</v>
      </c>
    </row>
    <row r="2337" spans="1:23" ht="60.75">
      <c r="A2337" s="3" t="s">
        <v>23</v>
      </c>
      <c r="B2337" s="3" t="s">
        <v>24</v>
      </c>
      <c r="C2337" s="3" t="s">
        <v>35</v>
      </c>
      <c r="D2337" s="3" t="s">
        <v>36</v>
      </c>
      <c r="E2337" s="3" t="s">
        <v>59</v>
      </c>
      <c r="F2337" s="3" t="s">
        <v>62</v>
      </c>
      <c r="G2337" s="3">
        <v>2016</v>
      </c>
      <c r="H2337" s="3" t="str">
        <f>CONCATENATE("64240212569")</f>
        <v>64240212569</v>
      </c>
      <c r="I2337" s="3" t="s">
        <v>25</v>
      </c>
      <c r="J2337" s="3" t="s">
        <v>26</v>
      </c>
      <c r="K2337" s="3" t="str">
        <f t="shared" si="73"/>
        <v/>
      </c>
      <c r="L2337" s="3" t="str">
        <f>CONCATENATE("11 11.2 4b")</f>
        <v>11 11.2 4b</v>
      </c>
      <c r="M2337" s="3" t="str">
        <f>CONCATENATE("PNTFRC83B61A462P")</f>
        <v>PNTFRC83B61A462P</v>
      </c>
      <c r="N2337" s="3" t="s">
        <v>2291</v>
      </c>
      <c r="O2337" s="3"/>
      <c r="P2337" s="4">
        <v>42783</v>
      </c>
      <c r="Q2337" s="3" t="s">
        <v>27</v>
      </c>
      <c r="R2337" s="3" t="s">
        <v>28</v>
      </c>
      <c r="S2337" s="3" t="s">
        <v>29</v>
      </c>
      <c r="T2337" s="5">
        <v>12066.12</v>
      </c>
      <c r="U2337" s="5">
        <v>5202.91</v>
      </c>
      <c r="V2337" s="5">
        <v>4804.7299999999996</v>
      </c>
      <c r="W2337" s="5">
        <v>2058.48</v>
      </c>
    </row>
    <row r="2338" spans="1:23" ht="60.75">
      <c r="A2338" s="3" t="s">
        <v>23</v>
      </c>
      <c r="B2338" s="3" t="s">
        <v>24</v>
      </c>
      <c r="C2338" s="3" t="s">
        <v>35</v>
      </c>
      <c r="D2338" s="3" t="s">
        <v>48</v>
      </c>
      <c r="E2338" s="3" t="s">
        <v>33</v>
      </c>
      <c r="F2338" s="3" t="s">
        <v>358</v>
      </c>
      <c r="G2338" s="3">
        <v>2016</v>
      </c>
      <c r="H2338" s="3" t="str">
        <f>CONCATENATE("64210918112")</f>
        <v>64210918112</v>
      </c>
      <c r="I2338" s="3" t="s">
        <v>25</v>
      </c>
      <c r="J2338" s="3" t="s">
        <v>26</v>
      </c>
      <c r="K2338" s="3" t="str">
        <f t="shared" si="73"/>
        <v/>
      </c>
      <c r="L2338" s="3" t="str">
        <f>CONCATENATE("13 13.1 4a")</f>
        <v>13 13.1 4a</v>
      </c>
      <c r="M2338" s="3" t="str">
        <f>CONCATENATE("FBBPLA66R19B398Q")</f>
        <v>FBBPLA66R19B398Q</v>
      </c>
      <c r="N2338" s="3" t="s">
        <v>1613</v>
      </c>
      <c r="O2338" s="3"/>
      <c r="P2338" s="4">
        <v>42783</v>
      </c>
      <c r="Q2338" s="3" t="s">
        <v>27</v>
      </c>
      <c r="R2338" s="3" t="s">
        <v>28</v>
      </c>
      <c r="S2338" s="3" t="s">
        <v>29</v>
      </c>
      <c r="T2338" s="5">
        <v>5078.7</v>
      </c>
      <c r="U2338" s="5">
        <v>2189.94</v>
      </c>
      <c r="V2338" s="5">
        <v>2022.34</v>
      </c>
      <c r="W2338" s="3">
        <v>866.42</v>
      </c>
    </row>
    <row r="2339" spans="1:23" ht="60.75">
      <c r="A2339" s="3" t="s">
        <v>23</v>
      </c>
      <c r="B2339" s="3" t="s">
        <v>24</v>
      </c>
      <c r="C2339" s="3" t="s">
        <v>35</v>
      </c>
      <c r="D2339" s="3" t="s">
        <v>39</v>
      </c>
      <c r="E2339" s="3" t="s">
        <v>32</v>
      </c>
      <c r="F2339" s="3" t="s">
        <v>215</v>
      </c>
      <c r="G2339" s="3">
        <v>2016</v>
      </c>
      <c r="H2339" s="3" t="str">
        <f>CONCATENATE("64240350013")</f>
        <v>64240350013</v>
      </c>
      <c r="I2339" s="3" t="s">
        <v>25</v>
      </c>
      <c r="J2339" s="3" t="s">
        <v>26</v>
      </c>
      <c r="K2339" s="3" t="str">
        <f t="shared" si="73"/>
        <v/>
      </c>
      <c r="L2339" s="3" t="str">
        <f>CONCATENATE("11 11.2 4b")</f>
        <v>11 11.2 4b</v>
      </c>
      <c r="M2339" s="3" t="str">
        <f>CONCATENATE("PTRSNT71L21F453H")</f>
        <v>PTRSNT71L21F453H</v>
      </c>
      <c r="N2339" s="3" t="s">
        <v>925</v>
      </c>
      <c r="O2339" s="3"/>
      <c r="P2339" s="4">
        <v>42783</v>
      </c>
      <c r="Q2339" s="3" t="s">
        <v>27</v>
      </c>
      <c r="R2339" s="3" t="s">
        <v>28</v>
      </c>
      <c r="S2339" s="3" t="s">
        <v>29</v>
      </c>
      <c r="T2339" s="3">
        <v>683.18</v>
      </c>
      <c r="U2339" s="3">
        <v>294.58999999999997</v>
      </c>
      <c r="V2339" s="3">
        <v>272.04000000000002</v>
      </c>
      <c r="W2339" s="3">
        <v>116.55</v>
      </c>
    </row>
    <row r="2340" spans="1:23" ht="60.75">
      <c r="A2340" s="3" t="s">
        <v>23</v>
      </c>
      <c r="B2340" s="3" t="s">
        <v>24</v>
      </c>
      <c r="C2340" s="3" t="s">
        <v>35</v>
      </c>
      <c r="D2340" s="3" t="s">
        <v>39</v>
      </c>
      <c r="E2340" s="3" t="s">
        <v>30</v>
      </c>
      <c r="F2340" s="3" t="s">
        <v>40</v>
      </c>
      <c r="G2340" s="3">
        <v>2016</v>
      </c>
      <c r="H2340" s="3" t="str">
        <f>CONCATENATE("64240511010")</f>
        <v>64240511010</v>
      </c>
      <c r="I2340" s="3" t="s">
        <v>25</v>
      </c>
      <c r="J2340" s="3" t="s">
        <v>26</v>
      </c>
      <c r="K2340" s="3" t="str">
        <f t="shared" si="73"/>
        <v/>
      </c>
      <c r="L2340" s="3" t="str">
        <f>CONCATENATE("10 10.1 4a")</f>
        <v>10 10.1 4a</v>
      </c>
      <c r="M2340" s="3" t="str">
        <f>CONCATENATE("TNTGRG75S17E388V")</f>
        <v>TNTGRG75S17E388V</v>
      </c>
      <c r="N2340" s="3" t="s">
        <v>715</v>
      </c>
      <c r="O2340" s="3"/>
      <c r="P2340" s="4">
        <v>42783</v>
      </c>
      <c r="Q2340" s="3" t="s">
        <v>27</v>
      </c>
      <c r="R2340" s="3" t="s">
        <v>28</v>
      </c>
      <c r="S2340" s="3" t="s">
        <v>29</v>
      </c>
      <c r="T2340" s="5">
        <v>1041.48</v>
      </c>
      <c r="U2340" s="3">
        <v>449.09</v>
      </c>
      <c r="V2340" s="3">
        <v>414.72</v>
      </c>
      <c r="W2340" s="3">
        <v>177.67</v>
      </c>
    </row>
    <row r="2341" spans="1:23" ht="60.75">
      <c r="A2341" s="3" t="s">
        <v>23</v>
      </c>
      <c r="B2341" s="3" t="s">
        <v>24</v>
      </c>
      <c r="C2341" s="3" t="s">
        <v>35</v>
      </c>
      <c r="D2341" s="3" t="s">
        <v>36</v>
      </c>
      <c r="E2341" s="3" t="s">
        <v>33</v>
      </c>
      <c r="F2341" s="3" t="s">
        <v>89</v>
      </c>
      <c r="G2341" s="3">
        <v>2016</v>
      </c>
      <c r="H2341" s="3" t="str">
        <f>CONCATENATE("64210652083")</f>
        <v>64210652083</v>
      </c>
      <c r="I2341" s="3" t="s">
        <v>25</v>
      </c>
      <c r="J2341" s="3" t="s">
        <v>26</v>
      </c>
      <c r="K2341" s="3" t="str">
        <f t="shared" si="73"/>
        <v/>
      </c>
      <c r="L2341" s="3" t="str">
        <f>CONCATENATE("13 13.1 4a")</f>
        <v>13 13.1 4a</v>
      </c>
      <c r="M2341" s="3" t="str">
        <f>CONCATENATE("PSCFNC69A20A252S")</f>
        <v>PSCFNC69A20A252S</v>
      </c>
      <c r="N2341" s="3" t="s">
        <v>2292</v>
      </c>
      <c r="O2341" s="3"/>
      <c r="P2341" s="4">
        <v>42783</v>
      </c>
      <c r="Q2341" s="3" t="s">
        <v>27</v>
      </c>
      <c r="R2341" s="3" t="s">
        <v>28</v>
      </c>
      <c r="S2341" s="3" t="s">
        <v>29</v>
      </c>
      <c r="T2341" s="3">
        <v>881.23</v>
      </c>
      <c r="U2341" s="3">
        <v>379.99</v>
      </c>
      <c r="V2341" s="3">
        <v>350.91</v>
      </c>
      <c r="W2341" s="3">
        <v>150.33000000000001</v>
      </c>
    </row>
    <row r="2342" spans="1:23" ht="60.75">
      <c r="A2342" s="3" t="s">
        <v>23</v>
      </c>
      <c r="B2342" s="3" t="s">
        <v>24</v>
      </c>
      <c r="C2342" s="3" t="s">
        <v>35</v>
      </c>
      <c r="D2342" s="3" t="s">
        <v>36</v>
      </c>
      <c r="E2342" s="3" t="s">
        <v>33</v>
      </c>
      <c r="F2342" s="3" t="s">
        <v>89</v>
      </c>
      <c r="G2342" s="3">
        <v>2016</v>
      </c>
      <c r="H2342" s="3" t="str">
        <f>CONCATENATE("64210868648")</f>
        <v>64210868648</v>
      </c>
      <c r="I2342" s="3" t="s">
        <v>25</v>
      </c>
      <c r="J2342" s="3" t="s">
        <v>26</v>
      </c>
      <c r="K2342" s="3" t="str">
        <f t="shared" si="73"/>
        <v/>
      </c>
      <c r="L2342" s="3" t="str">
        <f>CONCATENATE("13 13.1 4a")</f>
        <v>13 13.1 4a</v>
      </c>
      <c r="M2342" s="3" t="str">
        <f>CONCATENATE("CCCSFN60D56A044I")</f>
        <v>CCCSFN60D56A044I</v>
      </c>
      <c r="N2342" s="3" t="s">
        <v>2293</v>
      </c>
      <c r="O2342" s="3"/>
      <c r="P2342" s="4">
        <v>42783</v>
      </c>
      <c r="Q2342" s="3" t="s">
        <v>27</v>
      </c>
      <c r="R2342" s="3" t="s">
        <v>28</v>
      </c>
      <c r="S2342" s="3" t="s">
        <v>29</v>
      </c>
      <c r="T2342" s="3">
        <v>511.06</v>
      </c>
      <c r="U2342" s="3">
        <v>220.37</v>
      </c>
      <c r="V2342" s="3">
        <v>203.5</v>
      </c>
      <c r="W2342" s="3">
        <v>87.19</v>
      </c>
    </row>
    <row r="2343" spans="1:23" ht="72.75">
      <c r="A2343" s="3" t="s">
        <v>23</v>
      </c>
      <c r="B2343" s="3" t="s">
        <v>24</v>
      </c>
      <c r="C2343" s="3" t="s">
        <v>35</v>
      </c>
      <c r="D2343" s="3" t="s">
        <v>36</v>
      </c>
      <c r="E2343" s="3" t="s">
        <v>42</v>
      </c>
      <c r="F2343" s="3" t="s">
        <v>42</v>
      </c>
      <c r="G2343" s="3">
        <v>2016</v>
      </c>
      <c r="H2343" s="3" t="str">
        <f>CONCATENATE("64240169108")</f>
        <v>64240169108</v>
      </c>
      <c r="I2343" s="3" t="s">
        <v>25</v>
      </c>
      <c r="J2343" s="3" t="s">
        <v>26</v>
      </c>
      <c r="K2343" s="3" t="str">
        <f t="shared" si="73"/>
        <v/>
      </c>
      <c r="L2343" s="3" t="str">
        <f>CONCATENATE("11 11.2 4b")</f>
        <v>11 11.2 4b</v>
      </c>
      <c r="M2343" s="3" t="str">
        <f>CONCATENATE("DNGNCL31A29G005M")</f>
        <v>DNGNCL31A29G005M</v>
      </c>
      <c r="N2343" s="3" t="s">
        <v>2294</v>
      </c>
      <c r="O2343" s="3"/>
      <c r="P2343" s="4">
        <v>42783</v>
      </c>
      <c r="Q2343" s="3" t="s">
        <v>27</v>
      </c>
      <c r="R2343" s="3" t="s">
        <v>28</v>
      </c>
      <c r="S2343" s="3" t="s">
        <v>29</v>
      </c>
      <c r="T2343" s="3">
        <v>971.86</v>
      </c>
      <c r="U2343" s="3">
        <v>419.07</v>
      </c>
      <c r="V2343" s="3">
        <v>386.99</v>
      </c>
      <c r="W2343" s="3">
        <v>165.8</v>
      </c>
    </row>
    <row r="2344" spans="1:23" ht="60.75">
      <c r="A2344" s="3" t="s">
        <v>23</v>
      </c>
      <c r="B2344" s="3" t="s">
        <v>24</v>
      </c>
      <c r="C2344" s="3" t="s">
        <v>35</v>
      </c>
      <c r="D2344" s="3" t="s">
        <v>43</v>
      </c>
      <c r="E2344" s="3" t="s">
        <v>30</v>
      </c>
      <c r="F2344" s="3" t="s">
        <v>124</v>
      </c>
      <c r="G2344" s="3">
        <v>2016</v>
      </c>
      <c r="H2344" s="3" t="str">
        <f>CONCATENATE("64240924189")</f>
        <v>64240924189</v>
      </c>
      <c r="I2344" s="3" t="s">
        <v>25</v>
      </c>
      <c r="J2344" s="3" t="s">
        <v>26</v>
      </c>
      <c r="K2344" s="3" t="str">
        <f t="shared" si="73"/>
        <v/>
      </c>
      <c r="L2344" s="3" t="str">
        <f>CONCATENATE("11 11.1 4b")</f>
        <v>11 11.1 4b</v>
      </c>
      <c r="M2344" s="3" t="str">
        <f>CONCATENATE("PZZDRN64R17F135L")</f>
        <v>PZZDRN64R17F135L</v>
      </c>
      <c r="N2344" s="3" t="s">
        <v>646</v>
      </c>
      <c r="O2344" s="3"/>
      <c r="P2344" s="4">
        <v>42783</v>
      </c>
      <c r="Q2344" s="3" t="s">
        <v>27</v>
      </c>
      <c r="R2344" s="3" t="s">
        <v>28</v>
      </c>
      <c r="S2344" s="3" t="s">
        <v>29</v>
      </c>
      <c r="T2344" s="5">
        <v>2802.09</v>
      </c>
      <c r="U2344" s="5">
        <v>1208.26</v>
      </c>
      <c r="V2344" s="5">
        <v>1115.79</v>
      </c>
      <c r="W2344" s="3">
        <v>478.04</v>
      </c>
    </row>
    <row r="2345" spans="1:23" ht="60.75">
      <c r="A2345" s="3" t="s">
        <v>23</v>
      </c>
      <c r="B2345" s="3" t="s">
        <v>24</v>
      </c>
      <c r="C2345" s="3" t="s">
        <v>35</v>
      </c>
      <c r="D2345" s="3" t="s">
        <v>39</v>
      </c>
      <c r="E2345" s="3" t="s">
        <v>32</v>
      </c>
      <c r="F2345" s="3" t="s">
        <v>215</v>
      </c>
      <c r="G2345" s="3">
        <v>2016</v>
      </c>
      <c r="H2345" s="3" t="str">
        <f>CONCATENATE("64210335440")</f>
        <v>64210335440</v>
      </c>
      <c r="I2345" s="3" t="s">
        <v>25</v>
      </c>
      <c r="J2345" s="3" t="s">
        <v>26</v>
      </c>
      <c r="K2345" s="3" t="str">
        <f t="shared" si="73"/>
        <v/>
      </c>
      <c r="L2345" s="3" t="str">
        <f>CONCATENATE("13 13.1 4a")</f>
        <v>13 13.1 4a</v>
      </c>
      <c r="M2345" s="3" t="str">
        <f>CONCATENATE("SFRCST71R46A271L")</f>
        <v>SFRCST71R46A271L</v>
      </c>
      <c r="N2345" s="3" t="s">
        <v>2295</v>
      </c>
      <c r="O2345" s="3"/>
      <c r="P2345" s="4">
        <v>42783</v>
      </c>
      <c r="Q2345" s="3" t="s">
        <v>27</v>
      </c>
      <c r="R2345" s="3" t="s">
        <v>28</v>
      </c>
      <c r="S2345" s="3" t="s">
        <v>29</v>
      </c>
      <c r="T2345" s="5">
        <v>1063.4000000000001</v>
      </c>
      <c r="U2345" s="3">
        <v>458.54</v>
      </c>
      <c r="V2345" s="3">
        <v>423.45</v>
      </c>
      <c r="W2345" s="3">
        <v>181.41</v>
      </c>
    </row>
    <row r="2346" spans="1:23" ht="60.75">
      <c r="A2346" s="3" t="s">
        <v>23</v>
      </c>
      <c r="B2346" s="3" t="s">
        <v>24</v>
      </c>
      <c r="C2346" s="3" t="s">
        <v>35</v>
      </c>
      <c r="D2346" s="3" t="s">
        <v>36</v>
      </c>
      <c r="E2346" s="3" t="s">
        <v>42</v>
      </c>
      <c r="F2346" s="3" t="s">
        <v>42</v>
      </c>
      <c r="G2346" s="3">
        <v>2016</v>
      </c>
      <c r="H2346" s="3" t="str">
        <f>CONCATENATE("64240661401")</f>
        <v>64240661401</v>
      </c>
      <c r="I2346" s="3" t="s">
        <v>25</v>
      </c>
      <c r="J2346" s="3" t="s">
        <v>26</v>
      </c>
      <c r="K2346" s="3" t="str">
        <f t="shared" si="73"/>
        <v/>
      </c>
      <c r="L2346" s="3" t="str">
        <f>CONCATENATE("11 11.1 4b")</f>
        <v>11 11.1 4b</v>
      </c>
      <c r="M2346" s="3" t="str">
        <f>CONCATENATE("VSPGNE89C55H769H")</f>
        <v>VSPGNE89C55H769H</v>
      </c>
      <c r="N2346" s="3" t="s">
        <v>2296</v>
      </c>
      <c r="O2346" s="3"/>
      <c r="P2346" s="4">
        <v>42783</v>
      </c>
      <c r="Q2346" s="3" t="s">
        <v>27</v>
      </c>
      <c r="R2346" s="3" t="s">
        <v>28</v>
      </c>
      <c r="S2346" s="3" t="s">
        <v>29</v>
      </c>
      <c r="T2346" s="5">
        <v>1807.91</v>
      </c>
      <c r="U2346" s="3">
        <v>779.57</v>
      </c>
      <c r="V2346" s="3">
        <v>719.91</v>
      </c>
      <c r="W2346" s="3">
        <v>308.43</v>
      </c>
    </row>
    <row r="2347" spans="1:23" ht="72.75">
      <c r="A2347" s="3" t="s">
        <v>23</v>
      </c>
      <c r="B2347" s="3" t="s">
        <v>24</v>
      </c>
      <c r="C2347" s="3" t="s">
        <v>35</v>
      </c>
      <c r="D2347" s="3" t="s">
        <v>43</v>
      </c>
      <c r="E2347" s="3" t="s">
        <v>30</v>
      </c>
      <c r="F2347" s="3" t="s">
        <v>131</v>
      </c>
      <c r="G2347" s="3">
        <v>2016</v>
      </c>
      <c r="H2347" s="3" t="str">
        <f>CONCATENATE("64240783718")</f>
        <v>64240783718</v>
      </c>
      <c r="I2347" s="3" t="s">
        <v>25</v>
      </c>
      <c r="J2347" s="3" t="s">
        <v>26</v>
      </c>
      <c r="K2347" s="3" t="str">
        <f t="shared" si="73"/>
        <v/>
      </c>
      <c r="L2347" s="3" t="str">
        <f>CONCATENATE("11 11.2 4b")</f>
        <v>11 11.2 4b</v>
      </c>
      <c r="M2347" s="3" t="str">
        <f>CONCATENATE("SCCMSM55L15H809I")</f>
        <v>SCCMSM55L15H809I</v>
      </c>
      <c r="N2347" s="3" t="s">
        <v>2297</v>
      </c>
      <c r="O2347" s="3"/>
      <c r="P2347" s="4">
        <v>42783</v>
      </c>
      <c r="Q2347" s="3" t="s">
        <v>27</v>
      </c>
      <c r="R2347" s="3" t="s">
        <v>28</v>
      </c>
      <c r="S2347" s="3" t="s">
        <v>29</v>
      </c>
      <c r="T2347" s="5">
        <v>1838.92</v>
      </c>
      <c r="U2347" s="3">
        <v>792.94</v>
      </c>
      <c r="V2347" s="3">
        <v>732.26</v>
      </c>
      <c r="W2347" s="3">
        <v>313.72000000000003</v>
      </c>
    </row>
    <row r="2348" spans="1:23" ht="60.75">
      <c r="A2348" s="3" t="s">
        <v>23</v>
      </c>
      <c r="B2348" s="3" t="s">
        <v>24</v>
      </c>
      <c r="C2348" s="3" t="s">
        <v>35</v>
      </c>
      <c r="D2348" s="3" t="s">
        <v>43</v>
      </c>
      <c r="E2348" s="3" t="s">
        <v>32</v>
      </c>
      <c r="F2348" s="3" t="s">
        <v>119</v>
      </c>
      <c r="G2348" s="3">
        <v>2016</v>
      </c>
      <c r="H2348" s="3" t="str">
        <f>CONCATENATE("64210551129")</f>
        <v>64210551129</v>
      </c>
      <c r="I2348" s="3" t="s">
        <v>25</v>
      </c>
      <c r="J2348" s="3" t="s">
        <v>26</v>
      </c>
      <c r="K2348" s="3" t="str">
        <f t="shared" si="73"/>
        <v/>
      </c>
      <c r="L2348" s="3" t="str">
        <f>CONCATENATE("13 13.1 4a")</f>
        <v>13 13.1 4a</v>
      </c>
      <c r="M2348" s="3" t="str">
        <f>CONCATENATE("CFLDNL71E13B636N")</f>
        <v>CFLDNL71E13B636N</v>
      </c>
      <c r="N2348" s="3" t="s">
        <v>859</v>
      </c>
      <c r="O2348" s="3"/>
      <c r="P2348" s="4">
        <v>42783</v>
      </c>
      <c r="Q2348" s="3" t="s">
        <v>27</v>
      </c>
      <c r="R2348" s="3" t="s">
        <v>28</v>
      </c>
      <c r="S2348" s="3" t="s">
        <v>29</v>
      </c>
      <c r="T2348" s="5">
        <v>2784.97</v>
      </c>
      <c r="U2348" s="5">
        <v>1200.8800000000001</v>
      </c>
      <c r="V2348" s="5">
        <v>1108.98</v>
      </c>
      <c r="W2348" s="3">
        <v>475.11</v>
      </c>
    </row>
    <row r="2349" spans="1:23" ht="36.75">
      <c r="A2349" s="3" t="s">
        <v>23</v>
      </c>
      <c r="B2349" s="3" t="s">
        <v>24</v>
      </c>
      <c r="C2349" s="3" t="s">
        <v>35</v>
      </c>
      <c r="D2349" s="3" t="s">
        <v>43</v>
      </c>
      <c r="E2349" s="3" t="s">
        <v>49</v>
      </c>
      <c r="F2349" s="3" t="s">
        <v>139</v>
      </c>
      <c r="G2349" s="3">
        <v>2016</v>
      </c>
      <c r="H2349" s="3" t="str">
        <f>CONCATENATE("64240317202")</f>
        <v>64240317202</v>
      </c>
      <c r="I2349" s="3" t="s">
        <v>25</v>
      </c>
      <c r="J2349" s="3" t="s">
        <v>26</v>
      </c>
      <c r="K2349" s="3" t="str">
        <f t="shared" si="73"/>
        <v/>
      </c>
      <c r="L2349" s="3" t="str">
        <f>CONCATENATE("11 11.2 4b")</f>
        <v>11 11.2 4b</v>
      </c>
      <c r="M2349" s="3" t="str">
        <f>CONCATENATE("02390590418")</f>
        <v>02390590418</v>
      </c>
      <c r="N2349" s="3" t="s">
        <v>2298</v>
      </c>
      <c r="O2349" s="3"/>
      <c r="P2349" s="4">
        <v>42783</v>
      </c>
      <c r="Q2349" s="3" t="s">
        <v>27</v>
      </c>
      <c r="R2349" s="3" t="s">
        <v>28</v>
      </c>
      <c r="S2349" s="3" t="s">
        <v>29</v>
      </c>
      <c r="T2349" s="3">
        <v>473.25</v>
      </c>
      <c r="U2349" s="3">
        <v>204.07</v>
      </c>
      <c r="V2349" s="3">
        <v>188.45</v>
      </c>
      <c r="W2349" s="3">
        <v>80.73</v>
      </c>
    </row>
    <row r="2350" spans="1:23" ht="60.75">
      <c r="A2350" s="3" t="s">
        <v>23</v>
      </c>
      <c r="B2350" s="3" t="s">
        <v>24</v>
      </c>
      <c r="C2350" s="3" t="s">
        <v>35</v>
      </c>
      <c r="D2350" s="3" t="s">
        <v>48</v>
      </c>
      <c r="E2350" s="3" t="s">
        <v>33</v>
      </c>
      <c r="F2350" s="3" t="s">
        <v>212</v>
      </c>
      <c r="G2350" s="3">
        <v>2016</v>
      </c>
      <c r="H2350" s="3" t="str">
        <f>CONCATENATE("64240424685")</f>
        <v>64240424685</v>
      </c>
      <c r="I2350" s="3" t="s">
        <v>25</v>
      </c>
      <c r="J2350" s="3" t="s">
        <v>26</v>
      </c>
      <c r="K2350" s="3" t="str">
        <f t="shared" si="73"/>
        <v/>
      </c>
      <c r="L2350" s="3" t="str">
        <f>CONCATENATE("11 11.2 4b")</f>
        <v>11 11.2 4b</v>
      </c>
      <c r="M2350" s="3" t="str">
        <f>CONCATENATE("SNTGNN51H22I156O")</f>
        <v>SNTGNN51H22I156O</v>
      </c>
      <c r="N2350" s="3" t="s">
        <v>2299</v>
      </c>
      <c r="O2350" s="3"/>
      <c r="P2350" s="4">
        <v>42783</v>
      </c>
      <c r="Q2350" s="3" t="s">
        <v>27</v>
      </c>
      <c r="R2350" s="3" t="s">
        <v>28</v>
      </c>
      <c r="S2350" s="3" t="s">
        <v>29</v>
      </c>
      <c r="T2350" s="3">
        <v>396.41</v>
      </c>
      <c r="U2350" s="3">
        <v>170.93</v>
      </c>
      <c r="V2350" s="3">
        <v>157.85</v>
      </c>
      <c r="W2350" s="3">
        <v>67.63</v>
      </c>
    </row>
    <row r="2351" spans="1:23" ht="60.75">
      <c r="A2351" s="3" t="s">
        <v>23</v>
      </c>
      <c r="B2351" s="3" t="s">
        <v>24</v>
      </c>
      <c r="C2351" s="3" t="s">
        <v>35</v>
      </c>
      <c r="D2351" s="3" t="s">
        <v>43</v>
      </c>
      <c r="E2351" s="3" t="s">
        <v>33</v>
      </c>
      <c r="F2351" s="3" t="s">
        <v>46</v>
      </c>
      <c r="G2351" s="3">
        <v>2016</v>
      </c>
      <c r="H2351" s="3" t="str">
        <f>CONCATENATE("64240617494")</f>
        <v>64240617494</v>
      </c>
      <c r="I2351" s="3" t="s">
        <v>25</v>
      </c>
      <c r="J2351" s="3" t="s">
        <v>26</v>
      </c>
      <c r="K2351" s="3" t="str">
        <f t="shared" si="73"/>
        <v/>
      </c>
      <c r="L2351" s="3" t="str">
        <f>CONCATENATE("11 11.2 4b")</f>
        <v>11 11.2 4b</v>
      </c>
      <c r="M2351" s="3" t="str">
        <f>CONCATENATE("VLPCTA65D51I608K")</f>
        <v>VLPCTA65D51I608K</v>
      </c>
      <c r="N2351" s="3" t="s">
        <v>2300</v>
      </c>
      <c r="O2351" s="3"/>
      <c r="P2351" s="4">
        <v>42783</v>
      </c>
      <c r="Q2351" s="3" t="s">
        <v>27</v>
      </c>
      <c r="R2351" s="3" t="s">
        <v>28</v>
      </c>
      <c r="S2351" s="3" t="s">
        <v>29</v>
      </c>
      <c r="T2351" s="3">
        <v>579.44000000000005</v>
      </c>
      <c r="U2351" s="3">
        <v>249.85</v>
      </c>
      <c r="V2351" s="3">
        <v>230.73</v>
      </c>
      <c r="W2351" s="3">
        <v>98.86</v>
      </c>
    </row>
    <row r="2352" spans="1:23" ht="36.75">
      <c r="A2352" s="3" t="s">
        <v>23</v>
      </c>
      <c r="B2352" s="3" t="s">
        <v>24</v>
      </c>
      <c r="C2352" s="3" t="s">
        <v>35</v>
      </c>
      <c r="D2352" s="3" t="s">
        <v>43</v>
      </c>
      <c r="E2352" s="3" t="s">
        <v>30</v>
      </c>
      <c r="F2352" s="3" t="s">
        <v>113</v>
      </c>
      <c r="G2352" s="3">
        <v>2016</v>
      </c>
      <c r="H2352" s="3" t="str">
        <f>CONCATENATE("64240793790")</f>
        <v>64240793790</v>
      </c>
      <c r="I2352" s="3" t="s">
        <v>25</v>
      </c>
      <c r="J2352" s="3" t="s">
        <v>26</v>
      </c>
      <c r="K2352" s="3" t="str">
        <f t="shared" si="73"/>
        <v/>
      </c>
      <c r="L2352" s="3" t="str">
        <f>CONCATENATE("11 11.1 4b")</f>
        <v>11 11.1 4b</v>
      </c>
      <c r="M2352" s="3" t="str">
        <f>CONCATENATE("02444870410")</f>
        <v>02444870410</v>
      </c>
      <c r="N2352" s="3" t="s">
        <v>2301</v>
      </c>
      <c r="O2352" s="3"/>
      <c r="P2352" s="4">
        <v>42783</v>
      </c>
      <c r="Q2352" s="3" t="s">
        <v>27</v>
      </c>
      <c r="R2352" s="3" t="s">
        <v>28</v>
      </c>
      <c r="S2352" s="3" t="s">
        <v>29</v>
      </c>
      <c r="T2352" s="5">
        <v>3000.58</v>
      </c>
      <c r="U2352" s="5">
        <v>1293.8499999999999</v>
      </c>
      <c r="V2352" s="5">
        <v>1194.83</v>
      </c>
      <c r="W2352" s="3">
        <v>511.9</v>
      </c>
    </row>
    <row r="2353" spans="1:23" ht="60.75">
      <c r="A2353" s="3" t="s">
        <v>23</v>
      </c>
      <c r="B2353" s="3" t="s">
        <v>24</v>
      </c>
      <c r="C2353" s="3" t="s">
        <v>35</v>
      </c>
      <c r="D2353" s="3" t="s">
        <v>36</v>
      </c>
      <c r="E2353" s="3" t="s">
        <v>59</v>
      </c>
      <c r="F2353" s="3" t="s">
        <v>62</v>
      </c>
      <c r="G2353" s="3">
        <v>2016</v>
      </c>
      <c r="H2353" s="3" t="str">
        <f>CONCATENATE("64240383287")</f>
        <v>64240383287</v>
      </c>
      <c r="I2353" s="3" t="s">
        <v>25</v>
      </c>
      <c r="J2353" s="3" t="s">
        <v>26</v>
      </c>
      <c r="K2353" s="3" t="str">
        <f t="shared" si="73"/>
        <v/>
      </c>
      <c r="L2353" s="3" t="str">
        <f>CONCATENATE("11 11.2 4b")</f>
        <v>11 11.2 4b</v>
      </c>
      <c r="M2353" s="3" t="str">
        <f>CONCATENATE("SPRLGN67R01H321Q")</f>
        <v>SPRLGN67R01H321Q</v>
      </c>
      <c r="N2353" s="3" t="s">
        <v>2302</v>
      </c>
      <c r="O2353" s="3"/>
      <c r="P2353" s="4">
        <v>42783</v>
      </c>
      <c r="Q2353" s="3" t="s">
        <v>27</v>
      </c>
      <c r="R2353" s="3" t="s">
        <v>28</v>
      </c>
      <c r="S2353" s="3" t="s">
        <v>29</v>
      </c>
      <c r="T2353" s="5">
        <v>2632.28</v>
      </c>
      <c r="U2353" s="5">
        <v>1135.04</v>
      </c>
      <c r="V2353" s="5">
        <v>1048.17</v>
      </c>
      <c r="W2353" s="3">
        <v>449.07</v>
      </c>
    </row>
    <row r="2354" spans="1:23" ht="60.75">
      <c r="A2354" s="3" t="s">
        <v>23</v>
      </c>
      <c r="B2354" s="3" t="s">
        <v>24</v>
      </c>
      <c r="C2354" s="3" t="s">
        <v>35</v>
      </c>
      <c r="D2354" s="3" t="s">
        <v>36</v>
      </c>
      <c r="E2354" s="3" t="s">
        <v>30</v>
      </c>
      <c r="F2354" s="3" t="s">
        <v>257</v>
      </c>
      <c r="G2354" s="3">
        <v>2016</v>
      </c>
      <c r="H2354" s="3" t="str">
        <f>CONCATENATE("64240462610")</f>
        <v>64240462610</v>
      </c>
      <c r="I2354" s="3" t="s">
        <v>25</v>
      </c>
      <c r="J2354" s="3" t="s">
        <v>26</v>
      </c>
      <c r="K2354" s="3" t="str">
        <f t="shared" si="73"/>
        <v/>
      </c>
      <c r="L2354" s="3" t="str">
        <f>CONCATENATE("11 11.2 4b")</f>
        <v>11 11.2 4b</v>
      </c>
      <c r="M2354" s="3" t="str">
        <f>CONCATENATE("MCHNZS64L13D691T")</f>
        <v>MCHNZS64L13D691T</v>
      </c>
      <c r="N2354" s="3" t="s">
        <v>2303</v>
      </c>
      <c r="O2354" s="3"/>
      <c r="P2354" s="4">
        <v>42783</v>
      </c>
      <c r="Q2354" s="3" t="s">
        <v>27</v>
      </c>
      <c r="R2354" s="3" t="s">
        <v>28</v>
      </c>
      <c r="S2354" s="3" t="s">
        <v>29</v>
      </c>
      <c r="T2354" s="5">
        <v>3173.76</v>
      </c>
      <c r="U2354" s="5">
        <v>1368.53</v>
      </c>
      <c r="V2354" s="5">
        <v>1263.79</v>
      </c>
      <c r="W2354" s="3">
        <v>541.44000000000005</v>
      </c>
    </row>
    <row r="2355" spans="1:23" ht="60.75">
      <c r="A2355" s="3" t="s">
        <v>23</v>
      </c>
      <c r="B2355" s="3" t="s">
        <v>24</v>
      </c>
      <c r="C2355" s="3" t="s">
        <v>35</v>
      </c>
      <c r="D2355" s="3" t="s">
        <v>43</v>
      </c>
      <c r="E2355" s="3" t="s">
        <v>30</v>
      </c>
      <c r="F2355" s="3" t="s">
        <v>124</v>
      </c>
      <c r="G2355" s="3">
        <v>2016</v>
      </c>
      <c r="H2355" s="3" t="str">
        <f>CONCATENATE("64210650640")</f>
        <v>64210650640</v>
      </c>
      <c r="I2355" s="3" t="s">
        <v>25</v>
      </c>
      <c r="J2355" s="3" t="s">
        <v>26</v>
      </c>
      <c r="K2355" s="3" t="str">
        <f t="shared" si="73"/>
        <v/>
      </c>
      <c r="L2355" s="3" t="str">
        <f>CONCATENATE("13 13.1 4a")</f>
        <v>13 13.1 4a</v>
      </c>
      <c r="M2355" s="3" t="str">
        <f>CONCATENATE("BRNLRD35L18I287D")</f>
        <v>BRNLRD35L18I287D</v>
      </c>
      <c r="N2355" s="3" t="s">
        <v>2304</v>
      </c>
      <c r="O2355" s="3"/>
      <c r="P2355" s="4">
        <v>42783</v>
      </c>
      <c r="Q2355" s="3" t="s">
        <v>27</v>
      </c>
      <c r="R2355" s="3" t="s">
        <v>28</v>
      </c>
      <c r="S2355" s="3" t="s">
        <v>29</v>
      </c>
      <c r="T2355" s="5">
        <v>2032.5</v>
      </c>
      <c r="U2355" s="3">
        <v>876.41</v>
      </c>
      <c r="V2355" s="3">
        <v>809.34</v>
      </c>
      <c r="W2355" s="3">
        <v>346.75</v>
      </c>
    </row>
    <row r="2356" spans="1:23" ht="60.75">
      <c r="A2356" s="3" t="s">
        <v>23</v>
      </c>
      <c r="B2356" s="3" t="s">
        <v>24</v>
      </c>
      <c r="C2356" s="3" t="s">
        <v>35</v>
      </c>
      <c r="D2356" s="3" t="s">
        <v>36</v>
      </c>
      <c r="E2356" s="3" t="s">
        <v>30</v>
      </c>
      <c r="F2356" s="3" t="s">
        <v>37</v>
      </c>
      <c r="G2356" s="3">
        <v>2016</v>
      </c>
      <c r="H2356" s="3" t="str">
        <f>CONCATENATE("64210429946")</f>
        <v>64210429946</v>
      </c>
      <c r="I2356" s="3" t="s">
        <v>25</v>
      </c>
      <c r="J2356" s="3" t="s">
        <v>26</v>
      </c>
      <c r="K2356" s="3" t="str">
        <f t="shared" si="73"/>
        <v/>
      </c>
      <c r="L2356" s="3" t="str">
        <f>CONCATENATE("13 13.1 4a")</f>
        <v>13 13.1 4a</v>
      </c>
      <c r="M2356" s="3" t="str">
        <f>CONCATENATE("NNNRSL64A66H659A")</f>
        <v>NNNRSL64A66H659A</v>
      </c>
      <c r="N2356" s="3" t="s">
        <v>2305</v>
      </c>
      <c r="O2356" s="3"/>
      <c r="P2356" s="4">
        <v>42783</v>
      </c>
      <c r="Q2356" s="3" t="s">
        <v>27</v>
      </c>
      <c r="R2356" s="3" t="s">
        <v>28</v>
      </c>
      <c r="S2356" s="3" t="s">
        <v>29</v>
      </c>
      <c r="T2356" s="3">
        <v>243.53</v>
      </c>
      <c r="U2356" s="3">
        <v>105.01</v>
      </c>
      <c r="V2356" s="3">
        <v>96.97</v>
      </c>
      <c r="W2356" s="3">
        <v>41.55</v>
      </c>
    </row>
    <row r="2357" spans="1:23" ht="60.75">
      <c r="A2357" s="3" t="s">
        <v>23</v>
      </c>
      <c r="B2357" s="3" t="s">
        <v>24</v>
      </c>
      <c r="C2357" s="3" t="s">
        <v>35</v>
      </c>
      <c r="D2357" s="3" t="s">
        <v>43</v>
      </c>
      <c r="E2357" s="3" t="s">
        <v>30</v>
      </c>
      <c r="F2357" s="3" t="s">
        <v>76</v>
      </c>
      <c r="G2357" s="3">
        <v>2016</v>
      </c>
      <c r="H2357" s="3" t="str">
        <f>CONCATENATE("64240663514")</f>
        <v>64240663514</v>
      </c>
      <c r="I2357" s="3" t="s">
        <v>25</v>
      </c>
      <c r="J2357" s="3" t="s">
        <v>26</v>
      </c>
      <c r="K2357" s="3" t="str">
        <f t="shared" si="73"/>
        <v/>
      </c>
      <c r="L2357" s="3" t="str">
        <f>CONCATENATE("11 11.2 4b")</f>
        <v>11 11.2 4b</v>
      </c>
      <c r="M2357" s="3" t="str">
        <f>CONCATENATE("MTTMRA57T19F524A")</f>
        <v>MTTMRA57T19F524A</v>
      </c>
      <c r="N2357" s="3" t="s">
        <v>1256</v>
      </c>
      <c r="O2357" s="3"/>
      <c r="P2357" s="4">
        <v>42783</v>
      </c>
      <c r="Q2357" s="3" t="s">
        <v>27</v>
      </c>
      <c r="R2357" s="3" t="s">
        <v>28</v>
      </c>
      <c r="S2357" s="3" t="s">
        <v>29</v>
      </c>
      <c r="T2357" s="5">
        <v>24925.97</v>
      </c>
      <c r="U2357" s="5">
        <v>10748.08</v>
      </c>
      <c r="V2357" s="5">
        <v>9925.52</v>
      </c>
      <c r="W2357" s="5">
        <v>4252.37</v>
      </c>
    </row>
    <row r="2358" spans="1:23" ht="60.75">
      <c r="A2358" s="3" t="s">
        <v>23</v>
      </c>
      <c r="B2358" s="3" t="s">
        <v>24</v>
      </c>
      <c r="C2358" s="3" t="s">
        <v>35</v>
      </c>
      <c r="D2358" s="3" t="s">
        <v>43</v>
      </c>
      <c r="E2358" s="3" t="s">
        <v>32</v>
      </c>
      <c r="F2358" s="3" t="s">
        <v>335</v>
      </c>
      <c r="G2358" s="3">
        <v>2016</v>
      </c>
      <c r="H2358" s="3" t="str">
        <f>CONCATENATE("64240605903")</f>
        <v>64240605903</v>
      </c>
      <c r="I2358" s="3" t="s">
        <v>25</v>
      </c>
      <c r="J2358" s="3" t="s">
        <v>26</v>
      </c>
      <c r="K2358" s="3" t="str">
        <f t="shared" si="73"/>
        <v/>
      </c>
      <c r="L2358" s="3" t="str">
        <f>CONCATENATE("11 11.2 4b")</f>
        <v>11 11.2 4b</v>
      </c>
      <c r="M2358" s="3" t="str">
        <f>CONCATENATE("BRRGCR61R30Z130G")</f>
        <v>BRRGCR61R30Z130G</v>
      </c>
      <c r="N2358" s="3" t="s">
        <v>2306</v>
      </c>
      <c r="O2358" s="3"/>
      <c r="P2358" s="4">
        <v>42783</v>
      </c>
      <c r="Q2358" s="3" t="s">
        <v>27</v>
      </c>
      <c r="R2358" s="3" t="s">
        <v>28</v>
      </c>
      <c r="S2358" s="3" t="s">
        <v>29</v>
      </c>
      <c r="T2358" s="5">
        <v>5492.54</v>
      </c>
      <c r="U2358" s="5">
        <v>2368.38</v>
      </c>
      <c r="V2358" s="5">
        <v>2187.13</v>
      </c>
      <c r="W2358" s="3">
        <v>937.03</v>
      </c>
    </row>
    <row r="2359" spans="1:23" ht="60.75">
      <c r="A2359" s="3" t="s">
        <v>23</v>
      </c>
      <c r="B2359" s="3" t="s">
        <v>24</v>
      </c>
      <c r="C2359" s="3" t="s">
        <v>35</v>
      </c>
      <c r="D2359" s="3" t="s">
        <v>48</v>
      </c>
      <c r="E2359" s="3" t="s">
        <v>30</v>
      </c>
      <c r="F2359" s="3" t="s">
        <v>111</v>
      </c>
      <c r="G2359" s="3">
        <v>2016</v>
      </c>
      <c r="H2359" s="3" t="str">
        <f>CONCATENATE("64240678249")</f>
        <v>64240678249</v>
      </c>
      <c r="I2359" s="3" t="s">
        <v>25</v>
      </c>
      <c r="J2359" s="3" t="s">
        <v>26</v>
      </c>
      <c r="K2359" s="3" t="str">
        <f t="shared" si="73"/>
        <v/>
      </c>
      <c r="L2359" s="3" t="str">
        <f>CONCATENATE("11 11.2 4b")</f>
        <v>11 11.2 4b</v>
      </c>
      <c r="M2359" s="3" t="str">
        <f>CONCATENATE("PGLCLD67H44E116Q")</f>
        <v>PGLCLD67H44E116Q</v>
      </c>
      <c r="N2359" s="3" t="s">
        <v>2307</v>
      </c>
      <c r="O2359" s="3"/>
      <c r="P2359" s="4">
        <v>42783</v>
      </c>
      <c r="Q2359" s="3" t="s">
        <v>27</v>
      </c>
      <c r="R2359" s="3" t="s">
        <v>28</v>
      </c>
      <c r="S2359" s="3" t="s">
        <v>29</v>
      </c>
      <c r="T2359" s="5">
        <v>1776.71</v>
      </c>
      <c r="U2359" s="3">
        <v>766.12</v>
      </c>
      <c r="V2359" s="3">
        <v>707.49</v>
      </c>
      <c r="W2359" s="3">
        <v>303.10000000000002</v>
      </c>
    </row>
    <row r="2360" spans="1:23" ht="72.75">
      <c r="A2360" s="3" t="s">
        <v>23</v>
      </c>
      <c r="B2360" s="3" t="s">
        <v>24</v>
      </c>
      <c r="C2360" s="3" t="s">
        <v>35</v>
      </c>
      <c r="D2360" s="3" t="s">
        <v>36</v>
      </c>
      <c r="E2360" s="3" t="s">
        <v>42</v>
      </c>
      <c r="F2360" s="3" t="s">
        <v>42</v>
      </c>
      <c r="G2360" s="3">
        <v>2016</v>
      </c>
      <c r="H2360" s="3" t="str">
        <f>CONCATENATE("64240860011")</f>
        <v>64240860011</v>
      </c>
      <c r="I2360" s="3" t="s">
        <v>25</v>
      </c>
      <c r="J2360" s="3" t="s">
        <v>26</v>
      </c>
      <c r="K2360" s="3" t="str">
        <f t="shared" si="73"/>
        <v/>
      </c>
      <c r="L2360" s="3" t="str">
        <f>CONCATENATE("10 10.1 4b")</f>
        <v>10 10.1 4b</v>
      </c>
      <c r="M2360" s="3" t="str">
        <f>CONCATENATE("PGNDMA36P15H321S")</f>
        <v>PGNDMA36P15H321S</v>
      </c>
      <c r="N2360" s="3" t="s">
        <v>2308</v>
      </c>
      <c r="O2360" s="3"/>
      <c r="P2360" s="4">
        <v>42783</v>
      </c>
      <c r="Q2360" s="3" t="s">
        <v>27</v>
      </c>
      <c r="R2360" s="3" t="s">
        <v>28</v>
      </c>
      <c r="S2360" s="3" t="s">
        <v>29</v>
      </c>
      <c r="T2360" s="5">
        <v>4431.28</v>
      </c>
      <c r="U2360" s="5">
        <v>1910.77</v>
      </c>
      <c r="V2360" s="5">
        <v>1764.54</v>
      </c>
      <c r="W2360" s="3">
        <v>755.97</v>
      </c>
    </row>
    <row r="2361" spans="1:23" ht="60.75">
      <c r="A2361" s="3" t="s">
        <v>23</v>
      </c>
      <c r="B2361" s="3" t="s">
        <v>24</v>
      </c>
      <c r="C2361" s="3" t="s">
        <v>35</v>
      </c>
      <c r="D2361" s="3" t="s">
        <v>48</v>
      </c>
      <c r="E2361" s="3" t="s">
        <v>30</v>
      </c>
      <c r="F2361" s="3" t="s">
        <v>157</v>
      </c>
      <c r="G2361" s="3">
        <v>2016</v>
      </c>
      <c r="H2361" s="3" t="str">
        <f>CONCATENATE("64210466682")</f>
        <v>64210466682</v>
      </c>
      <c r="I2361" s="3" t="s">
        <v>25</v>
      </c>
      <c r="J2361" s="3" t="s">
        <v>26</v>
      </c>
      <c r="K2361" s="3" t="str">
        <f t="shared" si="73"/>
        <v/>
      </c>
      <c r="L2361" s="3" t="str">
        <f>CONCATENATE("13 13.1 4a")</f>
        <v>13 13.1 4a</v>
      </c>
      <c r="M2361" s="3" t="str">
        <f>CONCATENATE("TTVDDR61L23C582X")</f>
        <v>TTVDDR61L23C582X</v>
      </c>
      <c r="N2361" s="3" t="s">
        <v>2309</v>
      </c>
      <c r="O2361" s="3"/>
      <c r="P2361" s="4">
        <v>42783</v>
      </c>
      <c r="Q2361" s="3" t="s">
        <v>27</v>
      </c>
      <c r="R2361" s="3" t="s">
        <v>28</v>
      </c>
      <c r="S2361" s="3" t="s">
        <v>29</v>
      </c>
      <c r="T2361" s="5">
        <v>1085.18</v>
      </c>
      <c r="U2361" s="3">
        <v>467.93</v>
      </c>
      <c r="V2361" s="3">
        <v>432.12</v>
      </c>
      <c r="W2361" s="3">
        <v>185.13</v>
      </c>
    </row>
    <row r="2362" spans="1:23" ht="60.75">
      <c r="A2362" s="3" t="s">
        <v>23</v>
      </c>
      <c r="B2362" s="3" t="s">
        <v>24</v>
      </c>
      <c r="C2362" s="3" t="s">
        <v>35</v>
      </c>
      <c r="D2362" s="3" t="s">
        <v>48</v>
      </c>
      <c r="E2362" s="3" t="s">
        <v>33</v>
      </c>
      <c r="F2362" s="3" t="s">
        <v>116</v>
      </c>
      <c r="G2362" s="3">
        <v>2016</v>
      </c>
      <c r="H2362" s="3" t="str">
        <f>CONCATENATE("64240503801")</f>
        <v>64240503801</v>
      </c>
      <c r="I2362" s="3" t="s">
        <v>25</v>
      </c>
      <c r="J2362" s="3" t="s">
        <v>26</v>
      </c>
      <c r="K2362" s="3" t="str">
        <f t="shared" si="73"/>
        <v/>
      </c>
      <c r="L2362" s="3" t="str">
        <f>CONCATENATE("11 11.2 4b")</f>
        <v>11 11.2 4b</v>
      </c>
      <c r="M2362" s="3" t="str">
        <f>CONCATENATE("LNAFNC51L28D564L")</f>
        <v>LNAFNC51L28D564L</v>
      </c>
      <c r="N2362" s="3" t="s">
        <v>2310</v>
      </c>
      <c r="O2362" s="3"/>
      <c r="P2362" s="4">
        <v>42783</v>
      </c>
      <c r="Q2362" s="3" t="s">
        <v>27</v>
      </c>
      <c r="R2362" s="3" t="s">
        <v>28</v>
      </c>
      <c r="S2362" s="3" t="s">
        <v>29</v>
      </c>
      <c r="T2362" s="5">
        <v>4257.6099999999997</v>
      </c>
      <c r="U2362" s="5">
        <v>1835.88</v>
      </c>
      <c r="V2362" s="5">
        <v>1695.38</v>
      </c>
      <c r="W2362" s="3">
        <v>726.35</v>
      </c>
    </row>
    <row r="2363" spans="1:23" ht="36.75">
      <c r="A2363" s="3" t="s">
        <v>23</v>
      </c>
      <c r="B2363" s="3" t="s">
        <v>24</v>
      </c>
      <c r="C2363" s="3" t="s">
        <v>35</v>
      </c>
      <c r="D2363" s="3" t="s">
        <v>48</v>
      </c>
      <c r="E2363" s="3" t="s">
        <v>30</v>
      </c>
      <c r="F2363" s="3" t="s">
        <v>91</v>
      </c>
      <c r="G2363" s="3">
        <v>2016</v>
      </c>
      <c r="H2363" s="3" t="str">
        <f>CONCATENATE("64240312666")</f>
        <v>64240312666</v>
      </c>
      <c r="I2363" s="3" t="s">
        <v>25</v>
      </c>
      <c r="J2363" s="3" t="s">
        <v>26</v>
      </c>
      <c r="K2363" s="3" t="str">
        <f t="shared" si="73"/>
        <v/>
      </c>
      <c r="L2363" s="3" t="str">
        <f>CONCATENATE("11 11.2 4b")</f>
        <v>11 11.2 4b</v>
      </c>
      <c r="M2363" s="3" t="str">
        <f>CONCATENATE("01828690436")</f>
        <v>01828690436</v>
      </c>
      <c r="N2363" s="3" t="s">
        <v>2311</v>
      </c>
      <c r="O2363" s="3"/>
      <c r="P2363" s="4">
        <v>42783</v>
      </c>
      <c r="Q2363" s="3" t="s">
        <v>27</v>
      </c>
      <c r="R2363" s="3" t="s">
        <v>28</v>
      </c>
      <c r="S2363" s="3" t="s">
        <v>29</v>
      </c>
      <c r="T2363" s="5">
        <v>1962.84</v>
      </c>
      <c r="U2363" s="3">
        <v>846.38</v>
      </c>
      <c r="V2363" s="3">
        <v>781.6</v>
      </c>
      <c r="W2363" s="3">
        <v>334.86</v>
      </c>
    </row>
    <row r="2364" spans="1:23" ht="60.75">
      <c r="A2364" s="3" t="s">
        <v>23</v>
      </c>
      <c r="B2364" s="3" t="s">
        <v>24</v>
      </c>
      <c r="C2364" s="3" t="s">
        <v>35</v>
      </c>
      <c r="D2364" s="3" t="s">
        <v>36</v>
      </c>
      <c r="E2364" s="3" t="s">
        <v>30</v>
      </c>
      <c r="F2364" s="3" t="s">
        <v>86</v>
      </c>
      <c r="G2364" s="3">
        <v>2016</v>
      </c>
      <c r="H2364" s="3" t="str">
        <f>CONCATENATE("64240588984")</f>
        <v>64240588984</v>
      </c>
      <c r="I2364" s="3" t="s">
        <v>25</v>
      </c>
      <c r="J2364" s="3" t="s">
        <v>26</v>
      </c>
      <c r="K2364" s="3" t="str">
        <f t="shared" si="73"/>
        <v/>
      </c>
      <c r="L2364" s="3" t="str">
        <f>CONCATENATE("11 11.1 4b")</f>
        <v>11 11.1 4b</v>
      </c>
      <c r="M2364" s="3" t="str">
        <f>CONCATENATE("MRLLNE36E66L736H")</f>
        <v>MRLLNE36E66L736H</v>
      </c>
      <c r="N2364" s="3" t="s">
        <v>2312</v>
      </c>
      <c r="O2364" s="3"/>
      <c r="P2364" s="4">
        <v>42783</v>
      </c>
      <c r="Q2364" s="3" t="s">
        <v>27</v>
      </c>
      <c r="R2364" s="3" t="s">
        <v>28</v>
      </c>
      <c r="S2364" s="3" t="s">
        <v>29</v>
      </c>
      <c r="T2364" s="5">
        <v>30398.240000000002</v>
      </c>
      <c r="U2364" s="5">
        <v>13107.72</v>
      </c>
      <c r="V2364" s="5">
        <v>12104.58</v>
      </c>
      <c r="W2364" s="5">
        <v>5185.9399999999996</v>
      </c>
    </row>
    <row r="2365" spans="1:23" ht="60.75">
      <c r="A2365" s="3" t="s">
        <v>23</v>
      </c>
      <c r="B2365" s="3" t="s">
        <v>24</v>
      </c>
      <c r="C2365" s="3" t="s">
        <v>35</v>
      </c>
      <c r="D2365" s="3" t="s">
        <v>43</v>
      </c>
      <c r="E2365" s="3" t="s">
        <v>30</v>
      </c>
      <c r="F2365" s="3" t="s">
        <v>76</v>
      </c>
      <c r="G2365" s="3">
        <v>2016</v>
      </c>
      <c r="H2365" s="3" t="str">
        <f>CONCATENATE("64240249454")</f>
        <v>64240249454</v>
      </c>
      <c r="I2365" s="3" t="s">
        <v>25</v>
      </c>
      <c r="J2365" s="3" t="s">
        <v>26</v>
      </c>
      <c r="K2365" s="3" t="str">
        <f t="shared" si="73"/>
        <v/>
      </c>
      <c r="L2365" s="3" t="str">
        <f>CONCATENATE("11 11.2 4b")</f>
        <v>11 11.2 4b</v>
      </c>
      <c r="M2365" s="3" t="str">
        <f>CONCATENATE("RMNMSM65L26I459E")</f>
        <v>RMNMSM65L26I459E</v>
      </c>
      <c r="N2365" s="3" t="s">
        <v>2313</v>
      </c>
      <c r="O2365" s="3"/>
      <c r="P2365" s="4">
        <v>42783</v>
      </c>
      <c r="Q2365" s="3" t="s">
        <v>27</v>
      </c>
      <c r="R2365" s="3" t="s">
        <v>28</v>
      </c>
      <c r="S2365" s="3" t="s">
        <v>29</v>
      </c>
      <c r="T2365" s="5">
        <v>8066.7</v>
      </c>
      <c r="U2365" s="5">
        <v>3478.36</v>
      </c>
      <c r="V2365" s="5">
        <v>3212.16</v>
      </c>
      <c r="W2365" s="5">
        <v>1376.18</v>
      </c>
    </row>
    <row r="2366" spans="1:23" ht="60.75">
      <c r="A2366" s="3" t="s">
        <v>23</v>
      </c>
      <c r="B2366" s="3" t="s">
        <v>24</v>
      </c>
      <c r="C2366" s="3" t="s">
        <v>35</v>
      </c>
      <c r="D2366" s="3" t="s">
        <v>39</v>
      </c>
      <c r="E2366" s="3" t="s">
        <v>30</v>
      </c>
      <c r="F2366" s="3" t="s">
        <v>533</v>
      </c>
      <c r="G2366" s="3">
        <v>2016</v>
      </c>
      <c r="H2366" s="3" t="str">
        <f>CONCATENATE("64210911638")</f>
        <v>64210911638</v>
      </c>
      <c r="I2366" s="3" t="s">
        <v>25</v>
      </c>
      <c r="J2366" s="3" t="s">
        <v>26</v>
      </c>
      <c r="K2366" s="3" t="str">
        <f t="shared" si="73"/>
        <v/>
      </c>
      <c r="L2366" s="3" t="str">
        <f>CONCATENATE("13 13.1 4a")</f>
        <v>13 13.1 4a</v>
      </c>
      <c r="M2366" s="3" t="str">
        <f>CONCATENATE("MTTPTR55E22I461Y")</f>
        <v>MTTPTR55E22I461Y</v>
      </c>
      <c r="N2366" s="3" t="s">
        <v>2314</v>
      </c>
      <c r="O2366" s="3"/>
      <c r="P2366" s="4">
        <v>42783</v>
      </c>
      <c r="Q2366" s="3" t="s">
        <v>27</v>
      </c>
      <c r="R2366" s="3" t="s">
        <v>28</v>
      </c>
      <c r="S2366" s="3" t="s">
        <v>29</v>
      </c>
      <c r="T2366" s="3">
        <v>334.35</v>
      </c>
      <c r="U2366" s="3">
        <v>144.16999999999999</v>
      </c>
      <c r="V2366" s="3">
        <v>133.13999999999999</v>
      </c>
      <c r="W2366" s="3">
        <v>57.04</v>
      </c>
    </row>
    <row r="2367" spans="1:23" ht="60.75">
      <c r="A2367" s="3" t="s">
        <v>23</v>
      </c>
      <c r="B2367" s="3" t="s">
        <v>24</v>
      </c>
      <c r="C2367" s="3" t="s">
        <v>35</v>
      </c>
      <c r="D2367" s="3" t="s">
        <v>36</v>
      </c>
      <c r="E2367" s="3" t="s">
        <v>32</v>
      </c>
      <c r="F2367" s="3" t="s">
        <v>65</v>
      </c>
      <c r="G2367" s="3">
        <v>2016</v>
      </c>
      <c r="H2367" s="3" t="str">
        <f>CONCATENATE("64240664967")</f>
        <v>64240664967</v>
      </c>
      <c r="I2367" s="3" t="s">
        <v>31</v>
      </c>
      <c r="J2367" s="3" t="s">
        <v>26</v>
      </c>
      <c r="K2367" s="3" t="str">
        <f t="shared" si="73"/>
        <v/>
      </c>
      <c r="L2367" s="3" t="str">
        <f>CONCATENATE("10 10.1 4b")</f>
        <v>10 10.1 4b</v>
      </c>
      <c r="M2367" s="3" t="str">
        <f>CONCATENATE("VGNNRC33E09F591W")</f>
        <v>VGNNRC33E09F591W</v>
      </c>
      <c r="N2367" s="3" t="s">
        <v>2315</v>
      </c>
      <c r="O2367" s="3"/>
      <c r="P2367" s="4">
        <v>42783</v>
      </c>
      <c r="Q2367" s="3" t="s">
        <v>27</v>
      </c>
      <c r="R2367" s="3" t="s">
        <v>28</v>
      </c>
      <c r="S2367" s="3" t="s">
        <v>29</v>
      </c>
      <c r="T2367" s="5">
        <v>9090.32</v>
      </c>
      <c r="U2367" s="5">
        <v>3919.75</v>
      </c>
      <c r="V2367" s="5">
        <v>3619.77</v>
      </c>
      <c r="W2367" s="5">
        <v>1550.8</v>
      </c>
    </row>
    <row r="2368" spans="1:23" ht="72.75">
      <c r="A2368" s="3" t="s">
        <v>23</v>
      </c>
      <c r="B2368" s="3" t="s">
        <v>24</v>
      </c>
      <c r="C2368" s="3" t="s">
        <v>35</v>
      </c>
      <c r="D2368" s="3" t="s">
        <v>48</v>
      </c>
      <c r="E2368" s="3" t="s">
        <v>32</v>
      </c>
      <c r="F2368" s="3" t="s">
        <v>129</v>
      </c>
      <c r="G2368" s="3">
        <v>2016</v>
      </c>
      <c r="H2368" s="3" t="str">
        <f>CONCATENATE("64240142550")</f>
        <v>64240142550</v>
      </c>
      <c r="I2368" s="3" t="s">
        <v>25</v>
      </c>
      <c r="J2368" s="3" t="s">
        <v>26</v>
      </c>
      <c r="K2368" s="3" t="str">
        <f t="shared" si="73"/>
        <v/>
      </c>
      <c r="L2368" s="3" t="str">
        <f>CONCATENATE("11 11.2 4b")</f>
        <v>11 11.2 4b</v>
      </c>
      <c r="M2368" s="3" t="str">
        <f>CONCATENATE("WDMMTM73R43Z404H")</f>
        <v>WDMMTM73R43Z404H</v>
      </c>
      <c r="N2368" s="3" t="s">
        <v>2316</v>
      </c>
      <c r="O2368" s="3"/>
      <c r="P2368" s="4">
        <v>42783</v>
      </c>
      <c r="Q2368" s="3" t="s">
        <v>27</v>
      </c>
      <c r="R2368" s="3" t="s">
        <v>28</v>
      </c>
      <c r="S2368" s="3" t="s">
        <v>29</v>
      </c>
      <c r="T2368" s="5">
        <v>1329.53</v>
      </c>
      <c r="U2368" s="3">
        <v>573.29</v>
      </c>
      <c r="V2368" s="3">
        <v>529.41999999999996</v>
      </c>
      <c r="W2368" s="3">
        <v>226.82</v>
      </c>
    </row>
    <row r="2369" spans="1:23" ht="60.75">
      <c r="A2369" s="3" t="s">
        <v>23</v>
      </c>
      <c r="B2369" s="3" t="s">
        <v>24</v>
      </c>
      <c r="C2369" s="3" t="s">
        <v>35</v>
      </c>
      <c r="D2369" s="3" t="s">
        <v>43</v>
      </c>
      <c r="E2369" s="3" t="s">
        <v>30</v>
      </c>
      <c r="F2369" s="3" t="s">
        <v>124</v>
      </c>
      <c r="G2369" s="3">
        <v>2016</v>
      </c>
      <c r="H2369" s="3" t="str">
        <f>CONCATENATE("64210965626")</f>
        <v>64210965626</v>
      </c>
      <c r="I2369" s="3" t="s">
        <v>25</v>
      </c>
      <c r="J2369" s="3" t="s">
        <v>26</v>
      </c>
      <c r="K2369" s="3" t="str">
        <f t="shared" si="73"/>
        <v/>
      </c>
      <c r="L2369" s="3" t="str">
        <f>CONCATENATE("13 13.1 4a")</f>
        <v>13 13.1 4a</v>
      </c>
      <c r="M2369" s="3" t="str">
        <f>CONCATENATE("GNCVTR63A29A327X")</f>
        <v>GNCVTR63A29A327X</v>
      </c>
      <c r="N2369" s="3" t="s">
        <v>2317</v>
      </c>
      <c r="O2369" s="3"/>
      <c r="P2369" s="4">
        <v>42783</v>
      </c>
      <c r="Q2369" s="3" t="s">
        <v>27</v>
      </c>
      <c r="R2369" s="3" t="s">
        <v>28</v>
      </c>
      <c r="S2369" s="3" t="s">
        <v>29</v>
      </c>
      <c r="T2369" s="3">
        <v>510.76</v>
      </c>
      <c r="U2369" s="3">
        <v>220.24</v>
      </c>
      <c r="V2369" s="3">
        <v>203.38</v>
      </c>
      <c r="W2369" s="3">
        <v>87.14</v>
      </c>
    </row>
    <row r="2370" spans="1:23" ht="60.75">
      <c r="A2370" s="3" t="s">
        <v>23</v>
      </c>
      <c r="B2370" s="3" t="s">
        <v>24</v>
      </c>
      <c r="C2370" s="3" t="s">
        <v>35</v>
      </c>
      <c r="D2370" s="3" t="s">
        <v>39</v>
      </c>
      <c r="E2370" s="3" t="s">
        <v>30</v>
      </c>
      <c r="F2370" s="3" t="s">
        <v>285</v>
      </c>
      <c r="G2370" s="3">
        <v>2016</v>
      </c>
      <c r="H2370" s="3" t="str">
        <f>CONCATENATE("64240564589")</f>
        <v>64240564589</v>
      </c>
      <c r="I2370" s="3" t="s">
        <v>25</v>
      </c>
      <c r="J2370" s="3" t="s">
        <v>26</v>
      </c>
      <c r="K2370" s="3" t="str">
        <f t="shared" si="73"/>
        <v/>
      </c>
      <c r="L2370" s="3" t="str">
        <f>CONCATENATE("11 11.2 4b")</f>
        <v>11 11.2 4b</v>
      </c>
      <c r="M2370" s="3" t="str">
        <f>CONCATENATE("LLGMSF64E62H501O")</f>
        <v>LLGMSF64E62H501O</v>
      </c>
      <c r="N2370" s="3" t="s">
        <v>2318</v>
      </c>
      <c r="O2370" s="3"/>
      <c r="P2370" s="4">
        <v>42783</v>
      </c>
      <c r="Q2370" s="3" t="s">
        <v>27</v>
      </c>
      <c r="R2370" s="3" t="s">
        <v>28</v>
      </c>
      <c r="S2370" s="3" t="s">
        <v>29</v>
      </c>
      <c r="T2370" s="5">
        <v>1719.39</v>
      </c>
      <c r="U2370" s="3">
        <v>741.4</v>
      </c>
      <c r="V2370" s="3">
        <v>684.66</v>
      </c>
      <c r="W2370" s="3">
        <v>293.33</v>
      </c>
    </row>
    <row r="2371" spans="1:23" ht="60.75">
      <c r="A2371" s="3" t="s">
        <v>23</v>
      </c>
      <c r="B2371" s="3" t="s">
        <v>24</v>
      </c>
      <c r="C2371" s="3" t="s">
        <v>35</v>
      </c>
      <c r="D2371" s="3" t="s">
        <v>48</v>
      </c>
      <c r="E2371" s="3" t="s">
        <v>30</v>
      </c>
      <c r="F2371" s="3" t="s">
        <v>157</v>
      </c>
      <c r="G2371" s="3">
        <v>2016</v>
      </c>
      <c r="H2371" s="3" t="str">
        <f>CONCATENATE("64240729042")</f>
        <v>64240729042</v>
      </c>
      <c r="I2371" s="3" t="s">
        <v>25</v>
      </c>
      <c r="J2371" s="3" t="s">
        <v>26</v>
      </c>
      <c r="K2371" s="3" t="str">
        <f t="shared" si="73"/>
        <v/>
      </c>
      <c r="L2371" s="3" t="str">
        <f>CONCATENATE("11 11.1 4b")</f>
        <v>11 11.1 4b</v>
      </c>
      <c r="M2371" s="3" t="str">
        <f>CONCATENATE("TSSMRT85P07A252M")</f>
        <v>TSSMRT85P07A252M</v>
      </c>
      <c r="N2371" s="3" t="s">
        <v>2319</v>
      </c>
      <c r="O2371" s="3"/>
      <c r="P2371" s="4">
        <v>42783</v>
      </c>
      <c r="Q2371" s="3" t="s">
        <v>27</v>
      </c>
      <c r="R2371" s="3" t="s">
        <v>28</v>
      </c>
      <c r="S2371" s="3" t="s">
        <v>29</v>
      </c>
      <c r="T2371" s="5">
        <v>1991.85</v>
      </c>
      <c r="U2371" s="3">
        <v>858.89</v>
      </c>
      <c r="V2371" s="3">
        <v>793.15</v>
      </c>
      <c r="W2371" s="3">
        <v>339.81</v>
      </c>
    </row>
    <row r="2372" spans="1:23" ht="72.75">
      <c r="A2372" s="3" t="s">
        <v>23</v>
      </c>
      <c r="B2372" s="3" t="s">
        <v>24</v>
      </c>
      <c r="C2372" s="3" t="s">
        <v>35</v>
      </c>
      <c r="D2372" s="3" t="s">
        <v>43</v>
      </c>
      <c r="E2372" s="3" t="s">
        <v>33</v>
      </c>
      <c r="F2372" s="3" t="s">
        <v>122</v>
      </c>
      <c r="G2372" s="3">
        <v>2016</v>
      </c>
      <c r="H2372" s="3" t="str">
        <f>CONCATENATE("64211079393")</f>
        <v>64211079393</v>
      </c>
      <c r="I2372" s="3" t="s">
        <v>31</v>
      </c>
      <c r="J2372" s="3" t="s">
        <v>26</v>
      </c>
      <c r="K2372" s="3" t="str">
        <f t="shared" si="73"/>
        <v/>
      </c>
      <c r="L2372" s="3" t="str">
        <f>CONCATENATE("13 13.1 4a")</f>
        <v>13 13.1 4a</v>
      </c>
      <c r="M2372" s="3" t="str">
        <f>CONCATENATE("MGADRN52R58G551Q")</f>
        <v>MGADRN52R58G551Q</v>
      </c>
      <c r="N2372" s="3" t="s">
        <v>2320</v>
      </c>
      <c r="O2372" s="3"/>
      <c r="P2372" s="4">
        <v>42783</v>
      </c>
      <c r="Q2372" s="3" t="s">
        <v>27</v>
      </c>
      <c r="R2372" s="3" t="s">
        <v>28</v>
      </c>
      <c r="S2372" s="3" t="s">
        <v>29</v>
      </c>
      <c r="T2372" s="5">
        <v>2861.81</v>
      </c>
      <c r="U2372" s="5">
        <v>1234.01</v>
      </c>
      <c r="V2372" s="5">
        <v>1139.57</v>
      </c>
      <c r="W2372" s="3">
        <v>488.23</v>
      </c>
    </row>
    <row r="2373" spans="1:23" ht="60.75">
      <c r="A2373" s="3" t="s">
        <v>23</v>
      </c>
      <c r="B2373" s="3" t="s">
        <v>24</v>
      </c>
      <c r="C2373" s="3" t="s">
        <v>35</v>
      </c>
      <c r="D2373" s="3" t="s">
        <v>43</v>
      </c>
      <c r="E2373" s="3" t="s">
        <v>30</v>
      </c>
      <c r="F2373" s="3" t="s">
        <v>124</v>
      </c>
      <c r="G2373" s="3">
        <v>2016</v>
      </c>
      <c r="H2373" s="3" t="str">
        <f>CONCATENATE("64210910960")</f>
        <v>64210910960</v>
      </c>
      <c r="I2373" s="3" t="s">
        <v>25</v>
      </c>
      <c r="J2373" s="3" t="s">
        <v>26</v>
      </c>
      <c r="K2373" s="3" t="str">
        <f t="shared" si="73"/>
        <v/>
      </c>
      <c r="L2373" s="3" t="str">
        <f>CONCATENATE("13 13.1 4a")</f>
        <v>13 13.1 4a</v>
      </c>
      <c r="M2373" s="3" t="str">
        <f>CONCATENATE("MRNFNC46L05I287W")</f>
        <v>MRNFNC46L05I287W</v>
      </c>
      <c r="N2373" s="3" t="s">
        <v>284</v>
      </c>
      <c r="O2373" s="3"/>
      <c r="P2373" s="4">
        <v>42783</v>
      </c>
      <c r="Q2373" s="3" t="s">
        <v>27</v>
      </c>
      <c r="R2373" s="3" t="s">
        <v>28</v>
      </c>
      <c r="S2373" s="3" t="s">
        <v>29</v>
      </c>
      <c r="T2373" s="5">
        <v>5185.62</v>
      </c>
      <c r="U2373" s="5">
        <v>2236.04</v>
      </c>
      <c r="V2373" s="5">
        <v>2064.91</v>
      </c>
      <c r="W2373" s="3">
        <v>884.67</v>
      </c>
    </row>
    <row r="2374" spans="1:23" ht="60.75">
      <c r="A2374" s="3" t="s">
        <v>23</v>
      </c>
      <c r="B2374" s="3" t="s">
        <v>24</v>
      </c>
      <c r="C2374" s="3" t="s">
        <v>35</v>
      </c>
      <c r="D2374" s="3" t="s">
        <v>36</v>
      </c>
      <c r="E2374" s="3" t="s">
        <v>30</v>
      </c>
      <c r="F2374" s="3" t="s">
        <v>37</v>
      </c>
      <c r="G2374" s="3">
        <v>2016</v>
      </c>
      <c r="H2374" s="3" t="str">
        <f>CONCATENATE("64240374666")</f>
        <v>64240374666</v>
      </c>
      <c r="I2374" s="3" t="s">
        <v>25</v>
      </c>
      <c r="J2374" s="3" t="s">
        <v>26</v>
      </c>
      <c r="K2374" s="3" t="str">
        <f t="shared" si="73"/>
        <v/>
      </c>
      <c r="L2374" s="3" t="str">
        <f>CONCATENATE("10 10.1 4a")</f>
        <v>10 10.1 4a</v>
      </c>
      <c r="M2374" s="3" t="str">
        <f>CONCATENATE("MTTLSN78L05H769Y")</f>
        <v>MTTLSN78L05H769Y</v>
      </c>
      <c r="N2374" s="3" t="s">
        <v>847</v>
      </c>
      <c r="O2374" s="3"/>
      <c r="P2374" s="4">
        <v>42783</v>
      </c>
      <c r="Q2374" s="3" t="s">
        <v>27</v>
      </c>
      <c r="R2374" s="3" t="s">
        <v>28</v>
      </c>
      <c r="S2374" s="3" t="s">
        <v>29</v>
      </c>
      <c r="T2374" s="3">
        <v>319.5</v>
      </c>
      <c r="U2374" s="3">
        <v>137.77000000000001</v>
      </c>
      <c r="V2374" s="3">
        <v>127.22</v>
      </c>
      <c r="W2374" s="3">
        <v>54.51</v>
      </c>
    </row>
    <row r="2375" spans="1:23" ht="36.75">
      <c r="A2375" s="3" t="s">
        <v>23</v>
      </c>
      <c r="B2375" s="3" t="s">
        <v>24</v>
      </c>
      <c r="C2375" s="3" t="s">
        <v>35</v>
      </c>
      <c r="D2375" s="3" t="s">
        <v>36</v>
      </c>
      <c r="E2375" s="3" t="s">
        <v>30</v>
      </c>
      <c r="F2375" s="3" t="s">
        <v>257</v>
      </c>
      <c r="G2375" s="3">
        <v>2016</v>
      </c>
      <c r="H2375" s="3" t="str">
        <f>CONCATENATE("64240593885")</f>
        <v>64240593885</v>
      </c>
      <c r="I2375" s="3" t="s">
        <v>25</v>
      </c>
      <c r="J2375" s="3" t="s">
        <v>26</v>
      </c>
      <c r="K2375" s="3" t="str">
        <f t="shared" si="73"/>
        <v/>
      </c>
      <c r="L2375" s="3" t="str">
        <f>CONCATENATE("11 11.2 4b")</f>
        <v>11 11.2 4b</v>
      </c>
      <c r="M2375" s="3" t="str">
        <f>CONCATENATE("01348350446")</f>
        <v>01348350446</v>
      </c>
      <c r="N2375" s="3" t="s">
        <v>2321</v>
      </c>
      <c r="O2375" s="3"/>
      <c r="P2375" s="4">
        <v>42783</v>
      </c>
      <c r="Q2375" s="3" t="s">
        <v>27</v>
      </c>
      <c r="R2375" s="3" t="s">
        <v>28</v>
      </c>
      <c r="S2375" s="3" t="s">
        <v>29</v>
      </c>
      <c r="T2375" s="5">
        <v>15950.01</v>
      </c>
      <c r="U2375" s="5">
        <v>6877.64</v>
      </c>
      <c r="V2375" s="5">
        <v>6351.29</v>
      </c>
      <c r="W2375" s="5">
        <v>2721.08</v>
      </c>
    </row>
    <row r="2376" spans="1:23" ht="60.75">
      <c r="A2376" s="3" t="s">
        <v>23</v>
      </c>
      <c r="B2376" s="3" t="s">
        <v>24</v>
      </c>
      <c r="C2376" s="3" t="s">
        <v>35</v>
      </c>
      <c r="D2376" s="3" t="s">
        <v>36</v>
      </c>
      <c r="E2376" s="3" t="s">
        <v>59</v>
      </c>
      <c r="F2376" s="3" t="s">
        <v>910</v>
      </c>
      <c r="G2376" s="3">
        <v>2016</v>
      </c>
      <c r="H2376" s="3" t="str">
        <f>CONCATENATE("64240344735")</f>
        <v>64240344735</v>
      </c>
      <c r="I2376" s="3" t="s">
        <v>25</v>
      </c>
      <c r="J2376" s="3" t="s">
        <v>26</v>
      </c>
      <c r="K2376" s="3" t="str">
        <f t="shared" si="73"/>
        <v/>
      </c>
      <c r="L2376" s="3" t="str">
        <f>CONCATENATE("11 11.2 4b")</f>
        <v>11 11.2 4b</v>
      </c>
      <c r="M2376" s="3" t="str">
        <f>CONCATENATE("PLCFNC75S46A271H")</f>
        <v>PLCFNC75S46A271H</v>
      </c>
      <c r="N2376" s="3" t="s">
        <v>2322</v>
      </c>
      <c r="O2376" s="3"/>
      <c r="P2376" s="4">
        <v>42783</v>
      </c>
      <c r="Q2376" s="3" t="s">
        <v>27</v>
      </c>
      <c r="R2376" s="3" t="s">
        <v>28</v>
      </c>
      <c r="S2376" s="3" t="s">
        <v>29</v>
      </c>
      <c r="T2376" s="5">
        <v>2324.35</v>
      </c>
      <c r="U2376" s="5">
        <v>1002.26</v>
      </c>
      <c r="V2376" s="3">
        <v>925.56</v>
      </c>
      <c r="W2376" s="3">
        <v>396.53</v>
      </c>
    </row>
    <row r="2377" spans="1:23" ht="60.75">
      <c r="A2377" s="3" t="s">
        <v>23</v>
      </c>
      <c r="B2377" s="3" t="s">
        <v>24</v>
      </c>
      <c r="C2377" s="3" t="s">
        <v>35</v>
      </c>
      <c r="D2377" s="3" t="s">
        <v>43</v>
      </c>
      <c r="E2377" s="3" t="s">
        <v>30</v>
      </c>
      <c r="F2377" s="3" t="s">
        <v>124</v>
      </c>
      <c r="G2377" s="3">
        <v>2016</v>
      </c>
      <c r="H2377" s="3" t="str">
        <f>CONCATENATE("64240700308")</f>
        <v>64240700308</v>
      </c>
      <c r="I2377" s="3" t="s">
        <v>25</v>
      </c>
      <c r="J2377" s="3" t="s">
        <v>26</v>
      </c>
      <c r="K2377" s="3" t="str">
        <f t="shared" si="73"/>
        <v/>
      </c>
      <c r="L2377" s="3" t="str">
        <f>CONCATENATE("11 11.1 4b")</f>
        <v>11 11.1 4b</v>
      </c>
      <c r="M2377" s="3" t="str">
        <f>CONCATENATE("PZZGPP56R29F135Q")</f>
        <v>PZZGPP56R29F135Q</v>
      </c>
      <c r="N2377" s="3" t="s">
        <v>1449</v>
      </c>
      <c r="O2377" s="3"/>
      <c r="P2377" s="4">
        <v>42783</v>
      </c>
      <c r="Q2377" s="3" t="s">
        <v>27</v>
      </c>
      <c r="R2377" s="3" t="s">
        <v>28</v>
      </c>
      <c r="S2377" s="3" t="s">
        <v>29</v>
      </c>
      <c r="T2377" s="5">
        <v>2285.35</v>
      </c>
      <c r="U2377" s="3">
        <v>985.44</v>
      </c>
      <c r="V2377" s="3">
        <v>910.03</v>
      </c>
      <c r="W2377" s="3">
        <v>389.88</v>
      </c>
    </row>
    <row r="2378" spans="1:23" ht="60.75">
      <c r="A2378" s="3" t="s">
        <v>23</v>
      </c>
      <c r="B2378" s="3" t="s">
        <v>24</v>
      </c>
      <c r="C2378" s="3" t="s">
        <v>35</v>
      </c>
      <c r="D2378" s="3" t="s">
        <v>43</v>
      </c>
      <c r="E2378" s="3" t="s">
        <v>33</v>
      </c>
      <c r="F2378" s="3" t="s">
        <v>848</v>
      </c>
      <c r="G2378" s="3">
        <v>2016</v>
      </c>
      <c r="H2378" s="3" t="str">
        <f>CONCATENATE("64240351078")</f>
        <v>64240351078</v>
      </c>
      <c r="I2378" s="3" t="s">
        <v>25</v>
      </c>
      <c r="J2378" s="3" t="s">
        <v>26</v>
      </c>
      <c r="K2378" s="3" t="str">
        <f t="shared" si="73"/>
        <v/>
      </c>
      <c r="L2378" s="3" t="str">
        <f>CONCATENATE("11 11.2 4b")</f>
        <v>11 11.2 4b</v>
      </c>
      <c r="M2378" s="3" t="str">
        <f>CONCATENATE("PGGSLV81M50L500G")</f>
        <v>PGGSLV81M50L500G</v>
      </c>
      <c r="N2378" s="3" t="s">
        <v>2323</v>
      </c>
      <c r="O2378" s="3"/>
      <c r="P2378" s="4">
        <v>42783</v>
      </c>
      <c r="Q2378" s="3" t="s">
        <v>27</v>
      </c>
      <c r="R2378" s="3" t="s">
        <v>28</v>
      </c>
      <c r="S2378" s="3" t="s">
        <v>29</v>
      </c>
      <c r="T2378" s="5">
        <v>1701.8</v>
      </c>
      <c r="U2378" s="3">
        <v>733.82</v>
      </c>
      <c r="V2378" s="3">
        <v>677.66</v>
      </c>
      <c r="W2378" s="3">
        <v>290.32</v>
      </c>
    </row>
    <row r="2379" spans="1:23" ht="60.75">
      <c r="A2379" s="3" t="s">
        <v>23</v>
      </c>
      <c r="B2379" s="3" t="s">
        <v>24</v>
      </c>
      <c r="C2379" s="3" t="s">
        <v>35</v>
      </c>
      <c r="D2379" s="3" t="s">
        <v>39</v>
      </c>
      <c r="E2379" s="3" t="s">
        <v>30</v>
      </c>
      <c r="F2379" s="3" t="s">
        <v>84</v>
      </c>
      <c r="G2379" s="3">
        <v>2016</v>
      </c>
      <c r="H2379" s="3" t="str">
        <f>CONCATENATE("64210984064")</f>
        <v>64210984064</v>
      </c>
      <c r="I2379" s="3" t="s">
        <v>25</v>
      </c>
      <c r="J2379" s="3" t="s">
        <v>26</v>
      </c>
      <c r="K2379" s="3" t="str">
        <f t="shared" si="73"/>
        <v/>
      </c>
      <c r="L2379" s="3" t="str">
        <f>CONCATENATE("13 13.1 4a")</f>
        <v>13 13.1 4a</v>
      </c>
      <c r="M2379" s="3" t="str">
        <f>CONCATENATE("VLCFNC31T64D451D")</f>
        <v>VLCFNC31T64D451D</v>
      </c>
      <c r="N2379" s="3" t="s">
        <v>2324</v>
      </c>
      <c r="O2379" s="3"/>
      <c r="P2379" s="4">
        <v>42783</v>
      </c>
      <c r="Q2379" s="3" t="s">
        <v>27</v>
      </c>
      <c r="R2379" s="3" t="s">
        <v>28</v>
      </c>
      <c r="S2379" s="3" t="s">
        <v>29</v>
      </c>
      <c r="T2379" s="5">
        <v>1061.8900000000001</v>
      </c>
      <c r="U2379" s="3">
        <v>457.89</v>
      </c>
      <c r="V2379" s="3">
        <v>422.84</v>
      </c>
      <c r="W2379" s="3">
        <v>181.16</v>
      </c>
    </row>
    <row r="2380" spans="1:23" ht="36.75">
      <c r="A2380" s="3" t="s">
        <v>23</v>
      </c>
      <c r="B2380" s="3" t="s">
        <v>24</v>
      </c>
      <c r="C2380" s="3" t="s">
        <v>35</v>
      </c>
      <c r="D2380" s="3" t="s">
        <v>43</v>
      </c>
      <c r="E2380" s="3" t="s">
        <v>33</v>
      </c>
      <c r="F2380" s="3" t="s">
        <v>46</v>
      </c>
      <c r="G2380" s="3">
        <v>2016</v>
      </c>
      <c r="H2380" s="3" t="str">
        <f>CONCATENATE("64240616991")</f>
        <v>64240616991</v>
      </c>
      <c r="I2380" s="3" t="s">
        <v>25</v>
      </c>
      <c r="J2380" s="3" t="s">
        <v>26</v>
      </c>
      <c r="K2380" s="3" t="str">
        <f t="shared" si="73"/>
        <v/>
      </c>
      <c r="L2380" s="3" t="str">
        <f>CONCATENATE("11 11.2 4b")</f>
        <v>11 11.2 4b</v>
      </c>
      <c r="M2380" s="3" t="str">
        <f>CONCATENATE("01330250414")</f>
        <v>01330250414</v>
      </c>
      <c r="N2380" s="3" t="s">
        <v>2325</v>
      </c>
      <c r="O2380" s="3"/>
      <c r="P2380" s="4">
        <v>42783</v>
      </c>
      <c r="Q2380" s="3" t="s">
        <v>27</v>
      </c>
      <c r="R2380" s="3" t="s">
        <v>28</v>
      </c>
      <c r="S2380" s="3" t="s">
        <v>29</v>
      </c>
      <c r="T2380" s="5">
        <v>2409</v>
      </c>
      <c r="U2380" s="5">
        <v>1038.76</v>
      </c>
      <c r="V2380" s="3">
        <v>959.26</v>
      </c>
      <c r="W2380" s="3">
        <v>410.98</v>
      </c>
    </row>
    <row r="2381" spans="1:23" ht="60.75">
      <c r="A2381" s="3" t="s">
        <v>23</v>
      </c>
      <c r="B2381" s="3" t="s">
        <v>24</v>
      </c>
      <c r="C2381" s="3" t="s">
        <v>35</v>
      </c>
      <c r="D2381" s="3" t="s">
        <v>36</v>
      </c>
      <c r="E2381" s="3" t="s">
        <v>42</v>
      </c>
      <c r="F2381" s="3" t="s">
        <v>42</v>
      </c>
      <c r="G2381" s="3">
        <v>2016</v>
      </c>
      <c r="H2381" s="3" t="str">
        <f>CONCATENATE("64240604021")</f>
        <v>64240604021</v>
      </c>
      <c r="I2381" s="3" t="s">
        <v>25</v>
      </c>
      <c r="J2381" s="3" t="s">
        <v>26</v>
      </c>
      <c r="K2381" s="3" t="str">
        <f t="shared" si="73"/>
        <v/>
      </c>
      <c r="L2381" s="3" t="str">
        <f>CONCATENATE("11 11.2 4b")</f>
        <v>11 11.2 4b</v>
      </c>
      <c r="M2381" s="3" t="str">
        <f>CONCATENATE("TTVGPP57D14F509N")</f>
        <v>TTVGPP57D14F509N</v>
      </c>
      <c r="N2381" s="3" t="s">
        <v>1778</v>
      </c>
      <c r="O2381" s="3"/>
      <c r="P2381" s="4">
        <v>42783</v>
      </c>
      <c r="Q2381" s="3" t="s">
        <v>27</v>
      </c>
      <c r="R2381" s="3" t="s">
        <v>28</v>
      </c>
      <c r="S2381" s="3" t="s">
        <v>29</v>
      </c>
      <c r="T2381" s="3">
        <v>916.84</v>
      </c>
      <c r="U2381" s="3">
        <v>395.34</v>
      </c>
      <c r="V2381" s="3">
        <v>365.09</v>
      </c>
      <c r="W2381" s="3">
        <v>156.41</v>
      </c>
    </row>
    <row r="2382" spans="1:23" ht="60.75">
      <c r="A2382" s="3" t="s">
        <v>23</v>
      </c>
      <c r="B2382" s="3" t="s">
        <v>24</v>
      </c>
      <c r="C2382" s="3" t="s">
        <v>35</v>
      </c>
      <c r="D2382" s="3" t="s">
        <v>43</v>
      </c>
      <c r="E2382" s="3" t="s">
        <v>30</v>
      </c>
      <c r="F2382" s="3" t="s">
        <v>76</v>
      </c>
      <c r="G2382" s="3">
        <v>2016</v>
      </c>
      <c r="H2382" s="3" t="str">
        <f>CONCATENATE("64210151227")</f>
        <v>64210151227</v>
      </c>
      <c r="I2382" s="3" t="s">
        <v>25</v>
      </c>
      <c r="J2382" s="3" t="s">
        <v>26</v>
      </c>
      <c r="K2382" s="3" t="str">
        <f t="shared" si="73"/>
        <v/>
      </c>
      <c r="L2382" s="3" t="str">
        <f>CONCATENATE("13 13.1 4a")</f>
        <v>13 13.1 4a</v>
      </c>
      <c r="M2382" s="3" t="str">
        <f>CONCATENATE("MGNLCN54S09I459K")</f>
        <v>MGNLCN54S09I459K</v>
      </c>
      <c r="N2382" s="3" t="s">
        <v>966</v>
      </c>
      <c r="O2382" s="3"/>
      <c r="P2382" s="4">
        <v>42783</v>
      </c>
      <c r="Q2382" s="3" t="s">
        <v>27</v>
      </c>
      <c r="R2382" s="3" t="s">
        <v>28</v>
      </c>
      <c r="S2382" s="3" t="s">
        <v>29</v>
      </c>
      <c r="T2382" s="5">
        <v>3163.85</v>
      </c>
      <c r="U2382" s="5">
        <v>1364.25</v>
      </c>
      <c r="V2382" s="5">
        <v>1259.8499999999999</v>
      </c>
      <c r="W2382" s="3">
        <v>539.75</v>
      </c>
    </row>
    <row r="2383" spans="1:23" ht="36.75">
      <c r="A2383" s="3" t="s">
        <v>23</v>
      </c>
      <c r="B2383" s="3" t="s">
        <v>24</v>
      </c>
      <c r="C2383" s="3" t="s">
        <v>35</v>
      </c>
      <c r="D2383" s="3" t="s">
        <v>43</v>
      </c>
      <c r="E2383" s="3" t="s">
        <v>49</v>
      </c>
      <c r="F2383" s="3" t="s">
        <v>139</v>
      </c>
      <c r="G2383" s="3">
        <v>2016</v>
      </c>
      <c r="H2383" s="3" t="str">
        <f>CONCATENATE("64240351359")</f>
        <v>64240351359</v>
      </c>
      <c r="I2383" s="3" t="s">
        <v>25</v>
      </c>
      <c r="J2383" s="3" t="s">
        <v>26</v>
      </c>
      <c r="K2383" s="3" t="str">
        <f t="shared" si="73"/>
        <v/>
      </c>
      <c r="L2383" s="3" t="str">
        <f>CONCATENATE("11 11.2 4b")</f>
        <v>11 11.2 4b</v>
      </c>
      <c r="M2383" s="3" t="str">
        <f>CONCATENATE("02347150415")</f>
        <v>02347150415</v>
      </c>
      <c r="N2383" s="3" t="s">
        <v>2326</v>
      </c>
      <c r="O2383" s="3"/>
      <c r="P2383" s="4">
        <v>42783</v>
      </c>
      <c r="Q2383" s="3" t="s">
        <v>27</v>
      </c>
      <c r="R2383" s="3" t="s">
        <v>28</v>
      </c>
      <c r="S2383" s="3" t="s">
        <v>29</v>
      </c>
      <c r="T2383" s="5">
        <v>3548.46</v>
      </c>
      <c r="U2383" s="5">
        <v>1530.1</v>
      </c>
      <c r="V2383" s="5">
        <v>1413</v>
      </c>
      <c r="W2383" s="3">
        <v>605.36</v>
      </c>
    </row>
    <row r="2384" spans="1:23" ht="60.75">
      <c r="A2384" s="3" t="s">
        <v>23</v>
      </c>
      <c r="B2384" s="3" t="s">
        <v>24</v>
      </c>
      <c r="C2384" s="3" t="s">
        <v>35</v>
      </c>
      <c r="D2384" s="3" t="s">
        <v>36</v>
      </c>
      <c r="E2384" s="3" t="s">
        <v>33</v>
      </c>
      <c r="F2384" s="3" t="s">
        <v>360</v>
      </c>
      <c r="G2384" s="3">
        <v>2016</v>
      </c>
      <c r="H2384" s="3" t="str">
        <f>CONCATENATE("64240424933")</f>
        <v>64240424933</v>
      </c>
      <c r="I2384" s="3" t="s">
        <v>25</v>
      </c>
      <c r="J2384" s="3" t="s">
        <v>26</v>
      </c>
      <c r="K2384" s="3" t="str">
        <f t="shared" si="73"/>
        <v/>
      </c>
      <c r="L2384" s="3" t="str">
        <f>CONCATENATE("10 10.1 4b")</f>
        <v>10 10.1 4b</v>
      </c>
      <c r="M2384" s="3" t="str">
        <f>CONCATENATE("TMSGPT63C12F415T")</f>
        <v>TMSGPT63C12F415T</v>
      </c>
      <c r="N2384" s="3" t="s">
        <v>2327</v>
      </c>
      <c r="O2384" s="3"/>
      <c r="P2384" s="4">
        <v>42783</v>
      </c>
      <c r="Q2384" s="3" t="s">
        <v>27</v>
      </c>
      <c r="R2384" s="3" t="s">
        <v>28</v>
      </c>
      <c r="S2384" s="3" t="s">
        <v>29</v>
      </c>
      <c r="T2384" s="5">
        <v>2633.15</v>
      </c>
      <c r="U2384" s="5">
        <v>1135.4100000000001</v>
      </c>
      <c r="V2384" s="5">
        <v>1048.52</v>
      </c>
      <c r="W2384" s="3">
        <v>449.22</v>
      </c>
    </row>
    <row r="2385" spans="1:23" ht="36.75">
      <c r="A2385" s="3" t="s">
        <v>23</v>
      </c>
      <c r="B2385" s="3" t="s">
        <v>24</v>
      </c>
      <c r="C2385" s="3" t="s">
        <v>35</v>
      </c>
      <c r="D2385" s="3" t="s">
        <v>39</v>
      </c>
      <c r="E2385" s="3" t="s">
        <v>34</v>
      </c>
      <c r="F2385" s="3" t="s">
        <v>170</v>
      </c>
      <c r="G2385" s="3">
        <v>2016</v>
      </c>
      <c r="H2385" s="3" t="str">
        <f>CONCATENATE("64240713525")</f>
        <v>64240713525</v>
      </c>
      <c r="I2385" s="3" t="s">
        <v>25</v>
      </c>
      <c r="J2385" s="3" t="s">
        <v>26</v>
      </c>
      <c r="K2385" s="3" t="str">
        <f t="shared" si="73"/>
        <v/>
      </c>
      <c r="L2385" s="3" t="str">
        <f>CONCATENATE("11 11.1 4b")</f>
        <v>11 11.1 4b</v>
      </c>
      <c r="M2385" s="3" t="str">
        <f>CONCATENATE("01381030426")</f>
        <v>01381030426</v>
      </c>
      <c r="N2385" s="3" t="s">
        <v>2328</v>
      </c>
      <c r="O2385" s="3"/>
      <c r="P2385" s="4">
        <v>42783</v>
      </c>
      <c r="Q2385" s="3" t="s">
        <v>27</v>
      </c>
      <c r="R2385" s="3" t="s">
        <v>28</v>
      </c>
      <c r="S2385" s="3" t="s">
        <v>29</v>
      </c>
      <c r="T2385" s="5">
        <v>106286.21</v>
      </c>
      <c r="U2385" s="5">
        <v>45830.61</v>
      </c>
      <c r="V2385" s="5">
        <v>42323.17</v>
      </c>
      <c r="W2385" s="5">
        <v>18132.43</v>
      </c>
    </row>
    <row r="2386" spans="1:23" ht="60.75">
      <c r="A2386" s="3" t="s">
        <v>23</v>
      </c>
      <c r="B2386" s="3" t="s">
        <v>24</v>
      </c>
      <c r="C2386" s="3" t="s">
        <v>35</v>
      </c>
      <c r="D2386" s="3" t="s">
        <v>48</v>
      </c>
      <c r="E2386" s="3" t="s">
        <v>30</v>
      </c>
      <c r="F2386" s="3" t="s">
        <v>236</v>
      </c>
      <c r="G2386" s="3">
        <v>2016</v>
      </c>
      <c r="H2386" s="3" t="str">
        <f>CONCATENATE("64240602736")</f>
        <v>64240602736</v>
      </c>
      <c r="I2386" s="3" t="s">
        <v>31</v>
      </c>
      <c r="J2386" s="3" t="s">
        <v>26</v>
      </c>
      <c r="K2386" s="3" t="str">
        <f t="shared" ref="K2386:K2449" si="74">CONCATENATE("")</f>
        <v/>
      </c>
      <c r="L2386" s="3" t="str">
        <f>CONCATENATE("11 11.2 4b")</f>
        <v>11 11.2 4b</v>
      </c>
      <c r="M2386" s="3" t="str">
        <f>CONCATENATE("MRCPRI35P16C704A")</f>
        <v>MRCPRI35P16C704A</v>
      </c>
      <c r="N2386" s="3" t="s">
        <v>2329</v>
      </c>
      <c r="O2386" s="3"/>
      <c r="P2386" s="4">
        <v>42783</v>
      </c>
      <c r="Q2386" s="3" t="s">
        <v>27</v>
      </c>
      <c r="R2386" s="3" t="s">
        <v>28</v>
      </c>
      <c r="S2386" s="3" t="s">
        <v>29</v>
      </c>
      <c r="T2386" s="5">
        <v>3023.91</v>
      </c>
      <c r="U2386" s="5">
        <v>1303.9100000000001</v>
      </c>
      <c r="V2386" s="5">
        <v>1204.1199999999999</v>
      </c>
      <c r="W2386" s="3">
        <v>515.88</v>
      </c>
    </row>
    <row r="2387" spans="1:23" ht="36.75">
      <c r="A2387" s="3" t="s">
        <v>23</v>
      </c>
      <c r="B2387" s="3" t="s">
        <v>24</v>
      </c>
      <c r="C2387" s="3" t="s">
        <v>35</v>
      </c>
      <c r="D2387" s="3" t="s">
        <v>48</v>
      </c>
      <c r="E2387" s="3" t="s">
        <v>34</v>
      </c>
      <c r="F2387" s="3" t="s">
        <v>170</v>
      </c>
      <c r="G2387" s="3">
        <v>2016</v>
      </c>
      <c r="H2387" s="3" t="str">
        <f>CONCATENATE("64240275871")</f>
        <v>64240275871</v>
      </c>
      <c r="I2387" s="3" t="s">
        <v>31</v>
      </c>
      <c r="J2387" s="3" t="s">
        <v>26</v>
      </c>
      <c r="K2387" s="3" t="str">
        <f t="shared" si="74"/>
        <v/>
      </c>
      <c r="L2387" s="3" t="str">
        <f>CONCATENATE("11 11.1 4b")</f>
        <v>11 11.1 4b</v>
      </c>
      <c r="M2387" s="3" t="str">
        <f>CONCATENATE("01072260431")</f>
        <v>01072260431</v>
      </c>
      <c r="N2387" s="3" t="s">
        <v>2330</v>
      </c>
      <c r="O2387" s="3"/>
      <c r="P2387" s="4">
        <v>42783</v>
      </c>
      <c r="Q2387" s="3" t="s">
        <v>27</v>
      </c>
      <c r="R2387" s="3" t="s">
        <v>28</v>
      </c>
      <c r="S2387" s="3" t="s">
        <v>29</v>
      </c>
      <c r="T2387" s="5">
        <v>21435.5</v>
      </c>
      <c r="U2387" s="5">
        <v>9242.99</v>
      </c>
      <c r="V2387" s="5">
        <v>8535.6200000000008</v>
      </c>
      <c r="W2387" s="5">
        <v>3656.89</v>
      </c>
    </row>
    <row r="2388" spans="1:23" ht="60.75">
      <c r="A2388" s="3" t="s">
        <v>23</v>
      </c>
      <c r="B2388" s="3" t="s">
        <v>24</v>
      </c>
      <c r="C2388" s="3" t="s">
        <v>35</v>
      </c>
      <c r="D2388" s="3" t="s">
        <v>39</v>
      </c>
      <c r="E2388" s="3" t="s">
        <v>30</v>
      </c>
      <c r="F2388" s="3" t="s">
        <v>40</v>
      </c>
      <c r="G2388" s="3">
        <v>2016</v>
      </c>
      <c r="H2388" s="3" t="str">
        <f>CONCATENATE("64240529350")</f>
        <v>64240529350</v>
      </c>
      <c r="I2388" s="3" t="s">
        <v>25</v>
      </c>
      <c r="J2388" s="3" t="s">
        <v>26</v>
      </c>
      <c r="K2388" s="3" t="str">
        <f t="shared" si="74"/>
        <v/>
      </c>
      <c r="L2388" s="3" t="str">
        <f>CONCATENATE("11 11.2 4b")</f>
        <v>11 11.2 4b</v>
      </c>
      <c r="M2388" s="3" t="str">
        <f>CONCATENATE("CRGNLN67T02F453E")</f>
        <v>CRGNLN67T02F453E</v>
      </c>
      <c r="N2388" s="3" t="s">
        <v>2331</v>
      </c>
      <c r="O2388" s="3"/>
      <c r="P2388" s="4">
        <v>42783</v>
      </c>
      <c r="Q2388" s="3" t="s">
        <v>27</v>
      </c>
      <c r="R2388" s="3" t="s">
        <v>28</v>
      </c>
      <c r="S2388" s="3" t="s">
        <v>29</v>
      </c>
      <c r="T2388" s="5">
        <v>7839.29</v>
      </c>
      <c r="U2388" s="5">
        <v>3380.3</v>
      </c>
      <c r="V2388" s="5">
        <v>3121.61</v>
      </c>
      <c r="W2388" s="5">
        <v>1337.38</v>
      </c>
    </row>
    <row r="2389" spans="1:23" ht="60.75">
      <c r="A2389" s="3" t="s">
        <v>23</v>
      </c>
      <c r="B2389" s="3" t="s">
        <v>24</v>
      </c>
      <c r="C2389" s="3" t="s">
        <v>35</v>
      </c>
      <c r="D2389" s="3" t="s">
        <v>48</v>
      </c>
      <c r="E2389" s="3" t="s">
        <v>49</v>
      </c>
      <c r="F2389" s="3" t="s">
        <v>779</v>
      </c>
      <c r="G2389" s="3">
        <v>2016</v>
      </c>
      <c r="H2389" s="3" t="str">
        <f>CONCATENATE("64240690665")</f>
        <v>64240690665</v>
      </c>
      <c r="I2389" s="3" t="s">
        <v>25</v>
      </c>
      <c r="J2389" s="3" t="s">
        <v>26</v>
      </c>
      <c r="K2389" s="3" t="str">
        <f t="shared" si="74"/>
        <v/>
      </c>
      <c r="L2389" s="3" t="str">
        <f>CONCATENATE("11 11.2 4b")</f>
        <v>11 11.2 4b</v>
      </c>
      <c r="M2389" s="3" t="str">
        <f>CONCATENATE("FRNGRL52L58H876K")</f>
        <v>FRNGRL52L58H876K</v>
      </c>
      <c r="N2389" s="3" t="s">
        <v>2332</v>
      </c>
      <c r="O2389" s="3"/>
      <c r="P2389" s="4">
        <v>42783</v>
      </c>
      <c r="Q2389" s="3" t="s">
        <v>27</v>
      </c>
      <c r="R2389" s="3" t="s">
        <v>28</v>
      </c>
      <c r="S2389" s="3" t="s">
        <v>29</v>
      </c>
      <c r="T2389" s="5">
        <v>3649.92</v>
      </c>
      <c r="U2389" s="5">
        <v>1573.85</v>
      </c>
      <c r="V2389" s="5">
        <v>1453.4</v>
      </c>
      <c r="W2389" s="3">
        <v>622.66999999999996</v>
      </c>
    </row>
    <row r="2390" spans="1:23" ht="60.75">
      <c r="A2390" s="3" t="s">
        <v>23</v>
      </c>
      <c r="B2390" s="3" t="s">
        <v>24</v>
      </c>
      <c r="C2390" s="3" t="s">
        <v>35</v>
      </c>
      <c r="D2390" s="3" t="s">
        <v>39</v>
      </c>
      <c r="E2390" s="3" t="s">
        <v>30</v>
      </c>
      <c r="F2390" s="3" t="s">
        <v>72</v>
      </c>
      <c r="G2390" s="3">
        <v>2016</v>
      </c>
      <c r="H2390" s="3" t="str">
        <f>CONCATENATE("64240369104")</f>
        <v>64240369104</v>
      </c>
      <c r="I2390" s="3" t="s">
        <v>25</v>
      </c>
      <c r="J2390" s="3" t="s">
        <v>26</v>
      </c>
      <c r="K2390" s="3" t="str">
        <f t="shared" si="74"/>
        <v/>
      </c>
      <c r="L2390" s="3" t="str">
        <f>CONCATENATE("11 11.1 4b")</f>
        <v>11 11.1 4b</v>
      </c>
      <c r="M2390" s="3" t="str">
        <f>CONCATENATE("PRNNNA48S66L182R")</f>
        <v>PRNNNA48S66L182R</v>
      </c>
      <c r="N2390" s="3" t="s">
        <v>2333</v>
      </c>
      <c r="O2390" s="3"/>
      <c r="P2390" s="4">
        <v>42783</v>
      </c>
      <c r="Q2390" s="3" t="s">
        <v>27</v>
      </c>
      <c r="R2390" s="3" t="s">
        <v>28</v>
      </c>
      <c r="S2390" s="3" t="s">
        <v>29</v>
      </c>
      <c r="T2390" s="5">
        <v>1945.44</v>
      </c>
      <c r="U2390" s="3">
        <v>838.87</v>
      </c>
      <c r="V2390" s="3">
        <v>774.67</v>
      </c>
      <c r="W2390" s="3">
        <v>331.9</v>
      </c>
    </row>
    <row r="2391" spans="1:23" ht="60.75">
      <c r="A2391" s="3" t="s">
        <v>23</v>
      </c>
      <c r="B2391" s="3" t="s">
        <v>24</v>
      </c>
      <c r="C2391" s="3" t="s">
        <v>35</v>
      </c>
      <c r="D2391" s="3" t="s">
        <v>36</v>
      </c>
      <c r="E2391" s="3" t="s">
        <v>42</v>
      </c>
      <c r="F2391" s="3" t="s">
        <v>42</v>
      </c>
      <c r="G2391" s="3">
        <v>2016</v>
      </c>
      <c r="H2391" s="3" t="str">
        <f>CONCATENATE("64240084133")</f>
        <v>64240084133</v>
      </c>
      <c r="I2391" s="3" t="s">
        <v>25</v>
      </c>
      <c r="J2391" s="3" t="s">
        <v>26</v>
      </c>
      <c r="K2391" s="3" t="str">
        <f t="shared" si="74"/>
        <v/>
      </c>
      <c r="L2391" s="3" t="str">
        <f>CONCATENATE("11 11.2 4b")</f>
        <v>11 11.2 4b</v>
      </c>
      <c r="M2391" s="3" t="str">
        <f>CONCATENATE("VLLFNC50M13C321Y")</f>
        <v>VLLFNC50M13C321Y</v>
      </c>
      <c r="N2391" s="3" t="s">
        <v>2334</v>
      </c>
      <c r="O2391" s="3"/>
      <c r="P2391" s="4">
        <v>42783</v>
      </c>
      <c r="Q2391" s="3" t="s">
        <v>27</v>
      </c>
      <c r="R2391" s="3" t="s">
        <v>28</v>
      </c>
      <c r="S2391" s="3" t="s">
        <v>29</v>
      </c>
      <c r="T2391" s="5">
        <v>1963.11</v>
      </c>
      <c r="U2391" s="3">
        <v>846.49</v>
      </c>
      <c r="V2391" s="3">
        <v>781.71</v>
      </c>
      <c r="W2391" s="3">
        <v>334.91</v>
      </c>
    </row>
    <row r="2392" spans="1:23" ht="60.75">
      <c r="A2392" s="3" t="s">
        <v>23</v>
      </c>
      <c r="B2392" s="3" t="s">
        <v>24</v>
      </c>
      <c r="C2392" s="3" t="s">
        <v>35</v>
      </c>
      <c r="D2392" s="3" t="s">
        <v>48</v>
      </c>
      <c r="E2392" s="3" t="s">
        <v>49</v>
      </c>
      <c r="F2392" s="3" t="s">
        <v>80</v>
      </c>
      <c r="G2392" s="3">
        <v>2016</v>
      </c>
      <c r="H2392" s="3" t="str">
        <f>CONCATENATE("64210657041")</f>
        <v>64210657041</v>
      </c>
      <c r="I2392" s="3" t="s">
        <v>25</v>
      </c>
      <c r="J2392" s="3" t="s">
        <v>26</v>
      </c>
      <c r="K2392" s="3" t="str">
        <f t="shared" si="74"/>
        <v/>
      </c>
      <c r="L2392" s="3" t="str">
        <f>CONCATENATE("13 13.1 4a")</f>
        <v>13 13.1 4a</v>
      </c>
      <c r="M2392" s="3" t="str">
        <f>CONCATENATE("MRZPQL53C12L517D")</f>
        <v>MRZPQL53C12L517D</v>
      </c>
      <c r="N2392" s="3" t="s">
        <v>2335</v>
      </c>
      <c r="O2392" s="3"/>
      <c r="P2392" s="4">
        <v>42783</v>
      </c>
      <c r="Q2392" s="3" t="s">
        <v>27</v>
      </c>
      <c r="R2392" s="3" t="s">
        <v>28</v>
      </c>
      <c r="S2392" s="3" t="s">
        <v>29</v>
      </c>
      <c r="T2392" s="5">
        <v>4039.29</v>
      </c>
      <c r="U2392" s="5">
        <v>1741.74</v>
      </c>
      <c r="V2392" s="5">
        <v>1608.45</v>
      </c>
      <c r="W2392" s="3">
        <v>689.1</v>
      </c>
    </row>
    <row r="2393" spans="1:23" ht="72.75">
      <c r="A2393" s="3" t="s">
        <v>23</v>
      </c>
      <c r="B2393" s="3" t="s">
        <v>24</v>
      </c>
      <c r="C2393" s="3" t="s">
        <v>35</v>
      </c>
      <c r="D2393" s="3" t="s">
        <v>36</v>
      </c>
      <c r="E2393" s="3" t="s">
        <v>42</v>
      </c>
      <c r="F2393" s="3" t="s">
        <v>42</v>
      </c>
      <c r="G2393" s="3">
        <v>2016</v>
      </c>
      <c r="H2393" s="3" t="str">
        <f>CONCATENATE("64240051447")</f>
        <v>64240051447</v>
      </c>
      <c r="I2393" s="3" t="s">
        <v>25</v>
      </c>
      <c r="J2393" s="3" t="s">
        <v>26</v>
      </c>
      <c r="K2393" s="3" t="str">
        <f t="shared" si="74"/>
        <v/>
      </c>
      <c r="L2393" s="3" t="str">
        <f>CONCATENATE("11 11.2 4b")</f>
        <v>11 11.2 4b</v>
      </c>
      <c r="M2393" s="3" t="str">
        <f>CONCATENATE("LLMCLD80B28H769D")</f>
        <v>LLMCLD80B28H769D</v>
      </c>
      <c r="N2393" s="3" t="s">
        <v>2336</v>
      </c>
      <c r="O2393" s="3"/>
      <c r="P2393" s="4">
        <v>42783</v>
      </c>
      <c r="Q2393" s="3" t="s">
        <v>27</v>
      </c>
      <c r="R2393" s="3" t="s">
        <v>28</v>
      </c>
      <c r="S2393" s="3" t="s">
        <v>29</v>
      </c>
      <c r="T2393" s="5">
        <v>1522.77</v>
      </c>
      <c r="U2393" s="3">
        <v>656.62</v>
      </c>
      <c r="V2393" s="3">
        <v>606.37</v>
      </c>
      <c r="W2393" s="3">
        <v>259.77999999999997</v>
      </c>
    </row>
    <row r="2394" spans="1:23" ht="60.75">
      <c r="A2394" s="3" t="s">
        <v>23</v>
      </c>
      <c r="B2394" s="3" t="s">
        <v>24</v>
      </c>
      <c r="C2394" s="3" t="s">
        <v>35</v>
      </c>
      <c r="D2394" s="3" t="s">
        <v>48</v>
      </c>
      <c r="E2394" s="3" t="s">
        <v>30</v>
      </c>
      <c r="F2394" s="3" t="s">
        <v>91</v>
      </c>
      <c r="G2394" s="3">
        <v>2016</v>
      </c>
      <c r="H2394" s="3" t="str">
        <f>CONCATENATE("64210545527")</f>
        <v>64210545527</v>
      </c>
      <c r="I2394" s="3" t="s">
        <v>25</v>
      </c>
      <c r="J2394" s="3" t="s">
        <v>26</v>
      </c>
      <c r="K2394" s="3" t="str">
        <f t="shared" si="74"/>
        <v/>
      </c>
      <c r="L2394" s="3" t="str">
        <f>CONCATENATE("13 13.1 4a")</f>
        <v>13 13.1 4a</v>
      </c>
      <c r="M2394" s="3" t="str">
        <f>CONCATENATE("SSNGPP64L12M078M")</f>
        <v>SSNGPP64L12M078M</v>
      </c>
      <c r="N2394" s="3" t="s">
        <v>2337</v>
      </c>
      <c r="O2394" s="3"/>
      <c r="P2394" s="4">
        <v>42783</v>
      </c>
      <c r="Q2394" s="3" t="s">
        <v>27</v>
      </c>
      <c r="R2394" s="3" t="s">
        <v>28</v>
      </c>
      <c r="S2394" s="3" t="s">
        <v>29</v>
      </c>
      <c r="T2394" s="5">
        <v>1116.6099999999999</v>
      </c>
      <c r="U2394" s="3">
        <v>481.48</v>
      </c>
      <c r="V2394" s="3">
        <v>444.63</v>
      </c>
      <c r="W2394" s="3">
        <v>190.5</v>
      </c>
    </row>
    <row r="2395" spans="1:23" ht="60.75">
      <c r="A2395" s="3" t="s">
        <v>23</v>
      </c>
      <c r="B2395" s="3" t="s">
        <v>24</v>
      </c>
      <c r="C2395" s="3" t="s">
        <v>35</v>
      </c>
      <c r="D2395" s="3" t="s">
        <v>39</v>
      </c>
      <c r="E2395" s="3" t="s">
        <v>49</v>
      </c>
      <c r="F2395" s="3" t="s">
        <v>50</v>
      </c>
      <c r="G2395" s="3">
        <v>2016</v>
      </c>
      <c r="H2395" s="3" t="str">
        <f>CONCATENATE("64210725335")</f>
        <v>64210725335</v>
      </c>
      <c r="I2395" s="3" t="s">
        <v>25</v>
      </c>
      <c r="J2395" s="3" t="s">
        <v>26</v>
      </c>
      <c r="K2395" s="3" t="str">
        <f t="shared" si="74"/>
        <v/>
      </c>
      <c r="L2395" s="3" t="str">
        <f>CONCATENATE("13 13.1 4a")</f>
        <v>13 13.1 4a</v>
      </c>
      <c r="M2395" s="3" t="str">
        <f>CONCATENATE("SRGMTN67T21I653A")</f>
        <v>SRGMTN67T21I653A</v>
      </c>
      <c r="N2395" s="3" t="s">
        <v>1825</v>
      </c>
      <c r="O2395" s="3"/>
      <c r="P2395" s="4">
        <v>42783</v>
      </c>
      <c r="Q2395" s="3" t="s">
        <v>27</v>
      </c>
      <c r="R2395" s="3" t="s">
        <v>28</v>
      </c>
      <c r="S2395" s="3" t="s">
        <v>29</v>
      </c>
      <c r="T2395" s="5">
        <v>2094.59</v>
      </c>
      <c r="U2395" s="3">
        <v>903.19</v>
      </c>
      <c r="V2395" s="3">
        <v>834.07</v>
      </c>
      <c r="W2395" s="3">
        <v>357.33</v>
      </c>
    </row>
    <row r="2396" spans="1:23" ht="60.75">
      <c r="A2396" s="3" t="s">
        <v>23</v>
      </c>
      <c r="B2396" s="3" t="s">
        <v>24</v>
      </c>
      <c r="C2396" s="3" t="s">
        <v>35</v>
      </c>
      <c r="D2396" s="3" t="s">
        <v>43</v>
      </c>
      <c r="E2396" s="3" t="s">
        <v>30</v>
      </c>
      <c r="F2396" s="3" t="s">
        <v>131</v>
      </c>
      <c r="G2396" s="3">
        <v>2016</v>
      </c>
      <c r="H2396" s="3" t="str">
        <f>CONCATENATE("64240468229")</f>
        <v>64240468229</v>
      </c>
      <c r="I2396" s="3" t="s">
        <v>25</v>
      </c>
      <c r="J2396" s="3" t="s">
        <v>26</v>
      </c>
      <c r="K2396" s="3" t="str">
        <f t="shared" si="74"/>
        <v/>
      </c>
      <c r="L2396" s="3" t="str">
        <f>CONCATENATE("11 11.1 4b")</f>
        <v>11 11.1 4b</v>
      </c>
      <c r="M2396" s="3" t="str">
        <f>CONCATENATE("BLDRRT62L27D488L")</f>
        <v>BLDRRT62L27D488L</v>
      </c>
      <c r="N2396" s="3" t="s">
        <v>2338</v>
      </c>
      <c r="O2396" s="3"/>
      <c r="P2396" s="4">
        <v>42783</v>
      </c>
      <c r="Q2396" s="3" t="s">
        <v>27</v>
      </c>
      <c r="R2396" s="3" t="s">
        <v>28</v>
      </c>
      <c r="S2396" s="3" t="s">
        <v>29</v>
      </c>
      <c r="T2396" s="5">
        <v>2416.31</v>
      </c>
      <c r="U2396" s="5">
        <v>1041.9100000000001</v>
      </c>
      <c r="V2396" s="3">
        <v>962.17</v>
      </c>
      <c r="W2396" s="3">
        <v>412.23</v>
      </c>
    </row>
    <row r="2397" spans="1:23" ht="72.75">
      <c r="A2397" s="3" t="s">
        <v>23</v>
      </c>
      <c r="B2397" s="3" t="s">
        <v>24</v>
      </c>
      <c r="C2397" s="3" t="s">
        <v>35</v>
      </c>
      <c r="D2397" s="3" t="s">
        <v>36</v>
      </c>
      <c r="E2397" s="3" t="s">
        <v>30</v>
      </c>
      <c r="F2397" s="3" t="s">
        <v>53</v>
      </c>
      <c r="G2397" s="3">
        <v>2016</v>
      </c>
      <c r="H2397" s="3" t="str">
        <f>CONCATENATE("64240557500")</f>
        <v>64240557500</v>
      </c>
      <c r="I2397" s="3" t="s">
        <v>25</v>
      </c>
      <c r="J2397" s="3" t="s">
        <v>26</v>
      </c>
      <c r="K2397" s="3" t="str">
        <f t="shared" si="74"/>
        <v/>
      </c>
      <c r="L2397" s="3" t="str">
        <f>CONCATENATE("11 11.1 4b")</f>
        <v>11 11.1 4b</v>
      </c>
      <c r="M2397" s="3" t="str">
        <f>CONCATENATE("MCHMSM61M16H321J")</f>
        <v>MCHMSM61M16H321J</v>
      </c>
      <c r="N2397" s="3" t="s">
        <v>2339</v>
      </c>
      <c r="O2397" s="3"/>
      <c r="P2397" s="4">
        <v>42783</v>
      </c>
      <c r="Q2397" s="3" t="s">
        <v>27</v>
      </c>
      <c r="R2397" s="3" t="s">
        <v>28</v>
      </c>
      <c r="S2397" s="3" t="s">
        <v>29</v>
      </c>
      <c r="T2397" s="5">
        <v>9671.7199999999993</v>
      </c>
      <c r="U2397" s="5">
        <v>4170.45</v>
      </c>
      <c r="V2397" s="5">
        <v>3851.28</v>
      </c>
      <c r="W2397" s="5">
        <v>1649.99</v>
      </c>
    </row>
    <row r="2398" spans="1:23" ht="60.75">
      <c r="A2398" s="3" t="s">
        <v>23</v>
      </c>
      <c r="B2398" s="3" t="s">
        <v>24</v>
      </c>
      <c r="C2398" s="3" t="s">
        <v>35</v>
      </c>
      <c r="D2398" s="3" t="s">
        <v>36</v>
      </c>
      <c r="E2398" s="3" t="s">
        <v>42</v>
      </c>
      <c r="F2398" s="3" t="s">
        <v>42</v>
      </c>
      <c r="G2398" s="3">
        <v>2016</v>
      </c>
      <c r="H2398" s="3" t="str">
        <f>CONCATENATE("64240078846")</f>
        <v>64240078846</v>
      </c>
      <c r="I2398" s="3" t="s">
        <v>25</v>
      </c>
      <c r="J2398" s="3" t="s">
        <v>26</v>
      </c>
      <c r="K2398" s="3" t="str">
        <f t="shared" si="74"/>
        <v/>
      </c>
      <c r="L2398" s="3" t="str">
        <f>CONCATENATE("11 11.2 4b")</f>
        <v>11 11.2 4b</v>
      </c>
      <c r="M2398" s="3" t="str">
        <f>CONCATENATE("CCRGNN64M55F415H")</f>
        <v>CCRGNN64M55F415H</v>
      </c>
      <c r="N2398" s="3" t="s">
        <v>2340</v>
      </c>
      <c r="O2398" s="3"/>
      <c r="P2398" s="4">
        <v>42783</v>
      </c>
      <c r="Q2398" s="3" t="s">
        <v>27</v>
      </c>
      <c r="R2398" s="3" t="s">
        <v>28</v>
      </c>
      <c r="S2398" s="3" t="s">
        <v>29</v>
      </c>
      <c r="T2398" s="5">
        <v>1347.61</v>
      </c>
      <c r="U2398" s="3">
        <v>581.09</v>
      </c>
      <c r="V2398" s="3">
        <v>536.62</v>
      </c>
      <c r="W2398" s="3">
        <v>229.9</v>
      </c>
    </row>
    <row r="2399" spans="1:23" ht="60.75">
      <c r="A2399" s="3" t="s">
        <v>23</v>
      </c>
      <c r="B2399" s="3" t="s">
        <v>24</v>
      </c>
      <c r="C2399" s="3" t="s">
        <v>35</v>
      </c>
      <c r="D2399" s="3" t="s">
        <v>48</v>
      </c>
      <c r="E2399" s="3" t="s">
        <v>49</v>
      </c>
      <c r="F2399" s="3" t="s">
        <v>80</v>
      </c>
      <c r="G2399" s="3">
        <v>2016</v>
      </c>
      <c r="H2399" s="3" t="str">
        <f>CONCATENATE("64210671646")</f>
        <v>64210671646</v>
      </c>
      <c r="I2399" s="3" t="s">
        <v>25</v>
      </c>
      <c r="J2399" s="3" t="s">
        <v>26</v>
      </c>
      <c r="K2399" s="3" t="str">
        <f t="shared" si="74"/>
        <v/>
      </c>
      <c r="L2399" s="3" t="str">
        <f>CONCATENATE("13 13.1 4a")</f>
        <v>13 13.1 4a</v>
      </c>
      <c r="M2399" s="3" t="str">
        <f>CONCATENATE("MSCRST50S03I156T")</f>
        <v>MSCRST50S03I156T</v>
      </c>
      <c r="N2399" s="3" t="s">
        <v>2341</v>
      </c>
      <c r="O2399" s="3"/>
      <c r="P2399" s="4">
        <v>42783</v>
      </c>
      <c r="Q2399" s="3" t="s">
        <v>27</v>
      </c>
      <c r="R2399" s="3" t="s">
        <v>28</v>
      </c>
      <c r="S2399" s="3" t="s">
        <v>29</v>
      </c>
      <c r="T2399" s="5">
        <v>4590</v>
      </c>
      <c r="U2399" s="5">
        <v>1979.21</v>
      </c>
      <c r="V2399" s="5">
        <v>1827.74</v>
      </c>
      <c r="W2399" s="3">
        <v>783.05</v>
      </c>
    </row>
    <row r="2400" spans="1:23" ht="60.75">
      <c r="A2400" s="3" t="s">
        <v>23</v>
      </c>
      <c r="B2400" s="3" t="s">
        <v>24</v>
      </c>
      <c r="C2400" s="3" t="s">
        <v>35</v>
      </c>
      <c r="D2400" s="3" t="s">
        <v>36</v>
      </c>
      <c r="E2400" s="3" t="s">
        <v>30</v>
      </c>
      <c r="F2400" s="3" t="s">
        <v>37</v>
      </c>
      <c r="G2400" s="3">
        <v>2016</v>
      </c>
      <c r="H2400" s="3" t="str">
        <f>CONCATENATE("64240336236")</f>
        <v>64240336236</v>
      </c>
      <c r="I2400" s="3" t="s">
        <v>25</v>
      </c>
      <c r="J2400" s="3" t="s">
        <v>26</v>
      </c>
      <c r="K2400" s="3" t="str">
        <f t="shared" si="74"/>
        <v/>
      </c>
      <c r="L2400" s="3" t="str">
        <f>CONCATENATE("11 11.2 4b")</f>
        <v>11 11.2 4b</v>
      </c>
      <c r="M2400" s="3" t="str">
        <f>CONCATENATE("VTTGCR57B10F487C")</f>
        <v>VTTGCR57B10F487C</v>
      </c>
      <c r="N2400" s="3" t="s">
        <v>2342</v>
      </c>
      <c r="O2400" s="3"/>
      <c r="P2400" s="4">
        <v>42783</v>
      </c>
      <c r="Q2400" s="3" t="s">
        <v>27</v>
      </c>
      <c r="R2400" s="3" t="s">
        <v>28</v>
      </c>
      <c r="S2400" s="3" t="s">
        <v>29</v>
      </c>
      <c r="T2400" s="5">
        <v>1669.52</v>
      </c>
      <c r="U2400" s="3">
        <v>719.9</v>
      </c>
      <c r="V2400" s="3">
        <v>664.8</v>
      </c>
      <c r="W2400" s="3">
        <v>284.82</v>
      </c>
    </row>
    <row r="2401" spans="1:23" ht="60.75">
      <c r="A2401" s="3" t="s">
        <v>23</v>
      </c>
      <c r="B2401" s="3" t="s">
        <v>24</v>
      </c>
      <c r="C2401" s="3" t="s">
        <v>35</v>
      </c>
      <c r="D2401" s="3" t="s">
        <v>36</v>
      </c>
      <c r="E2401" s="3" t="s">
        <v>32</v>
      </c>
      <c r="F2401" s="3" t="s">
        <v>208</v>
      </c>
      <c r="G2401" s="3">
        <v>2016</v>
      </c>
      <c r="H2401" s="3" t="str">
        <f>CONCATENATE("64240375457")</f>
        <v>64240375457</v>
      </c>
      <c r="I2401" s="3" t="s">
        <v>25</v>
      </c>
      <c r="J2401" s="3" t="s">
        <v>26</v>
      </c>
      <c r="K2401" s="3" t="str">
        <f t="shared" si="74"/>
        <v/>
      </c>
      <c r="L2401" s="3" t="str">
        <f>CONCATENATE("11 11.2 4b")</f>
        <v>11 11.2 4b</v>
      </c>
      <c r="M2401" s="3" t="str">
        <f>CONCATENATE("VLLRRT74M19H769Z")</f>
        <v>VLLRRT74M19H769Z</v>
      </c>
      <c r="N2401" s="3" t="s">
        <v>2343</v>
      </c>
      <c r="O2401" s="3"/>
      <c r="P2401" s="4">
        <v>42783</v>
      </c>
      <c r="Q2401" s="3" t="s">
        <v>27</v>
      </c>
      <c r="R2401" s="3" t="s">
        <v>28</v>
      </c>
      <c r="S2401" s="3" t="s">
        <v>29</v>
      </c>
      <c r="T2401" s="5">
        <v>1126.1300000000001</v>
      </c>
      <c r="U2401" s="3">
        <v>485.59</v>
      </c>
      <c r="V2401" s="3">
        <v>448.42</v>
      </c>
      <c r="W2401" s="3">
        <v>192.12</v>
      </c>
    </row>
    <row r="2402" spans="1:23" ht="36.75">
      <c r="A2402" s="3" t="s">
        <v>23</v>
      </c>
      <c r="B2402" s="3" t="s">
        <v>24</v>
      </c>
      <c r="C2402" s="3" t="s">
        <v>35</v>
      </c>
      <c r="D2402" s="3" t="s">
        <v>48</v>
      </c>
      <c r="E2402" s="3" t="s">
        <v>30</v>
      </c>
      <c r="F2402" s="3" t="s">
        <v>111</v>
      </c>
      <c r="G2402" s="3">
        <v>2016</v>
      </c>
      <c r="H2402" s="3" t="str">
        <f>CONCATENATE("64240666335")</f>
        <v>64240666335</v>
      </c>
      <c r="I2402" s="3" t="s">
        <v>31</v>
      </c>
      <c r="J2402" s="3" t="s">
        <v>26</v>
      </c>
      <c r="K2402" s="3" t="str">
        <f t="shared" si="74"/>
        <v/>
      </c>
      <c r="L2402" s="3" t="str">
        <f>CONCATENATE("11 11.2 4b")</f>
        <v>11 11.2 4b</v>
      </c>
      <c r="M2402" s="3" t="str">
        <f>CONCATENATE("01588080430")</f>
        <v>01588080430</v>
      </c>
      <c r="N2402" s="3" t="s">
        <v>2344</v>
      </c>
      <c r="O2402" s="3"/>
      <c r="P2402" s="4">
        <v>42783</v>
      </c>
      <c r="Q2402" s="3" t="s">
        <v>27</v>
      </c>
      <c r="R2402" s="3" t="s">
        <v>28</v>
      </c>
      <c r="S2402" s="3" t="s">
        <v>29</v>
      </c>
      <c r="T2402" s="5">
        <v>1774.12</v>
      </c>
      <c r="U2402" s="3">
        <v>765</v>
      </c>
      <c r="V2402" s="3">
        <v>706.45</v>
      </c>
      <c r="W2402" s="3">
        <v>302.67</v>
      </c>
    </row>
    <row r="2403" spans="1:23" ht="60.75">
      <c r="A2403" s="3" t="s">
        <v>23</v>
      </c>
      <c r="B2403" s="3" t="s">
        <v>24</v>
      </c>
      <c r="C2403" s="3" t="s">
        <v>35</v>
      </c>
      <c r="D2403" s="3" t="s">
        <v>36</v>
      </c>
      <c r="E2403" s="3" t="s">
        <v>33</v>
      </c>
      <c r="F2403" s="3" t="s">
        <v>192</v>
      </c>
      <c r="G2403" s="3">
        <v>2016</v>
      </c>
      <c r="H2403" s="3" t="str">
        <f>CONCATENATE("64240350328")</f>
        <v>64240350328</v>
      </c>
      <c r="I2403" s="3" t="s">
        <v>25</v>
      </c>
      <c r="J2403" s="3" t="s">
        <v>26</v>
      </c>
      <c r="K2403" s="3" t="str">
        <f t="shared" si="74"/>
        <v/>
      </c>
      <c r="L2403" s="3" t="str">
        <f>CONCATENATE("11 11.2 4b")</f>
        <v>11 11.2 4b</v>
      </c>
      <c r="M2403" s="3" t="str">
        <f>CONCATENATE("QTDMTT80C01F704C")</f>
        <v>QTDMTT80C01F704C</v>
      </c>
      <c r="N2403" s="3" t="s">
        <v>2345</v>
      </c>
      <c r="O2403" s="3"/>
      <c r="P2403" s="4">
        <v>42783</v>
      </c>
      <c r="Q2403" s="3" t="s">
        <v>27</v>
      </c>
      <c r="R2403" s="3" t="s">
        <v>28</v>
      </c>
      <c r="S2403" s="3" t="s">
        <v>29</v>
      </c>
      <c r="T2403" s="5">
        <v>10851.35</v>
      </c>
      <c r="U2403" s="5">
        <v>4679.1000000000004</v>
      </c>
      <c r="V2403" s="5">
        <v>4321.01</v>
      </c>
      <c r="W2403" s="5">
        <v>1851.24</v>
      </c>
    </row>
    <row r="2404" spans="1:23" ht="60.75">
      <c r="A2404" s="3" t="s">
        <v>23</v>
      </c>
      <c r="B2404" s="3" t="s">
        <v>24</v>
      </c>
      <c r="C2404" s="3" t="s">
        <v>35</v>
      </c>
      <c r="D2404" s="3" t="s">
        <v>48</v>
      </c>
      <c r="E2404" s="3" t="s">
        <v>30</v>
      </c>
      <c r="F2404" s="3" t="s">
        <v>196</v>
      </c>
      <c r="G2404" s="3">
        <v>2016</v>
      </c>
      <c r="H2404" s="3" t="str">
        <f>CONCATENATE("64240528741")</f>
        <v>64240528741</v>
      </c>
      <c r="I2404" s="3" t="s">
        <v>25</v>
      </c>
      <c r="J2404" s="3" t="s">
        <v>26</v>
      </c>
      <c r="K2404" s="3" t="str">
        <f t="shared" si="74"/>
        <v/>
      </c>
      <c r="L2404" s="3" t="str">
        <f>CONCATENATE("11 11.2 4b")</f>
        <v>11 11.2 4b</v>
      </c>
      <c r="M2404" s="3" t="str">
        <f>CONCATENATE("FLCLRD81A09E388B")</f>
        <v>FLCLRD81A09E388B</v>
      </c>
      <c r="N2404" s="3" t="s">
        <v>2346</v>
      </c>
      <c r="O2404" s="3"/>
      <c r="P2404" s="4">
        <v>42783</v>
      </c>
      <c r="Q2404" s="3" t="s">
        <v>27</v>
      </c>
      <c r="R2404" s="3" t="s">
        <v>28</v>
      </c>
      <c r="S2404" s="3" t="s">
        <v>29</v>
      </c>
      <c r="T2404" s="5">
        <v>7251.02</v>
      </c>
      <c r="U2404" s="5">
        <v>3126.64</v>
      </c>
      <c r="V2404" s="5">
        <v>2887.36</v>
      </c>
      <c r="W2404" s="5">
        <v>1237.02</v>
      </c>
    </row>
    <row r="2405" spans="1:23" ht="60.75">
      <c r="A2405" s="3" t="s">
        <v>23</v>
      </c>
      <c r="B2405" s="3" t="s">
        <v>24</v>
      </c>
      <c r="C2405" s="3" t="s">
        <v>35</v>
      </c>
      <c r="D2405" s="3" t="s">
        <v>48</v>
      </c>
      <c r="E2405" s="3" t="s">
        <v>30</v>
      </c>
      <c r="F2405" s="3" t="s">
        <v>57</v>
      </c>
      <c r="G2405" s="3">
        <v>2016</v>
      </c>
      <c r="H2405" s="3" t="str">
        <f>CONCATENATE("64240675401")</f>
        <v>64240675401</v>
      </c>
      <c r="I2405" s="3" t="s">
        <v>25</v>
      </c>
      <c r="J2405" s="3" t="s">
        <v>26</v>
      </c>
      <c r="K2405" s="3" t="str">
        <f t="shared" si="74"/>
        <v/>
      </c>
      <c r="L2405" s="3" t="str">
        <f>CONCATENATE("11 11.1 4b")</f>
        <v>11 11.1 4b</v>
      </c>
      <c r="M2405" s="3" t="str">
        <f>CONCATENATE("CRCLRT81H18L191M")</f>
        <v>CRCLRT81H18L191M</v>
      </c>
      <c r="N2405" s="3" t="s">
        <v>2347</v>
      </c>
      <c r="O2405" s="3"/>
      <c r="P2405" s="4">
        <v>42783</v>
      </c>
      <c r="Q2405" s="3" t="s">
        <v>27</v>
      </c>
      <c r="R2405" s="3" t="s">
        <v>28</v>
      </c>
      <c r="S2405" s="3" t="s">
        <v>29</v>
      </c>
      <c r="T2405" s="5">
        <v>6377.1</v>
      </c>
      <c r="U2405" s="5">
        <v>2749.81</v>
      </c>
      <c r="V2405" s="5">
        <v>2539.36</v>
      </c>
      <c r="W2405" s="5">
        <v>1087.93</v>
      </c>
    </row>
    <row r="2406" spans="1:23" ht="60.75">
      <c r="A2406" s="3" t="s">
        <v>23</v>
      </c>
      <c r="B2406" s="3" t="s">
        <v>24</v>
      </c>
      <c r="C2406" s="3" t="s">
        <v>35</v>
      </c>
      <c r="D2406" s="3" t="s">
        <v>43</v>
      </c>
      <c r="E2406" s="3" t="s">
        <v>32</v>
      </c>
      <c r="F2406" s="3" t="s">
        <v>78</v>
      </c>
      <c r="G2406" s="3">
        <v>2016</v>
      </c>
      <c r="H2406" s="3" t="str">
        <f>CONCATENATE("64240321832")</f>
        <v>64240321832</v>
      </c>
      <c r="I2406" s="3" t="s">
        <v>25</v>
      </c>
      <c r="J2406" s="3" t="s">
        <v>26</v>
      </c>
      <c r="K2406" s="3" t="str">
        <f t="shared" si="74"/>
        <v/>
      </c>
      <c r="L2406" s="3" t="str">
        <f>CONCATENATE("11 11.1 4b")</f>
        <v>11 11.1 4b</v>
      </c>
      <c r="M2406" s="3" t="str">
        <f>CONCATENATE("BRBRND54T04F502Q")</f>
        <v>BRBRND54T04F502Q</v>
      </c>
      <c r="N2406" s="3" t="s">
        <v>2348</v>
      </c>
      <c r="O2406" s="3"/>
      <c r="P2406" s="4">
        <v>42783</v>
      </c>
      <c r="Q2406" s="3" t="s">
        <v>27</v>
      </c>
      <c r="R2406" s="3" t="s">
        <v>28</v>
      </c>
      <c r="S2406" s="3" t="s">
        <v>29</v>
      </c>
      <c r="T2406" s="5">
        <v>3683.32</v>
      </c>
      <c r="U2406" s="5">
        <v>1588.25</v>
      </c>
      <c r="V2406" s="5">
        <v>1466.7</v>
      </c>
      <c r="W2406" s="3">
        <v>628.37</v>
      </c>
    </row>
    <row r="2407" spans="1:23" ht="60.75">
      <c r="A2407" s="3" t="s">
        <v>23</v>
      </c>
      <c r="B2407" s="3" t="s">
        <v>24</v>
      </c>
      <c r="C2407" s="3" t="s">
        <v>35</v>
      </c>
      <c r="D2407" s="3" t="s">
        <v>43</v>
      </c>
      <c r="E2407" s="3" t="s">
        <v>30</v>
      </c>
      <c r="F2407" s="3" t="s">
        <v>109</v>
      </c>
      <c r="G2407" s="3">
        <v>2016</v>
      </c>
      <c r="H2407" s="3" t="str">
        <f>CONCATENATE("64210985905")</f>
        <v>64210985905</v>
      </c>
      <c r="I2407" s="3" t="s">
        <v>25</v>
      </c>
      <c r="J2407" s="3" t="s">
        <v>26</v>
      </c>
      <c r="K2407" s="3" t="str">
        <f t="shared" si="74"/>
        <v/>
      </c>
      <c r="L2407" s="3" t="str">
        <f>CONCATENATE("13 13.1 4a")</f>
        <v>13 13.1 4a</v>
      </c>
      <c r="M2407" s="3" t="str">
        <f>CONCATENATE("FNCGRG51D23L506Q")</f>
        <v>FNCGRG51D23L506Q</v>
      </c>
      <c r="N2407" s="3" t="s">
        <v>2349</v>
      </c>
      <c r="O2407" s="3"/>
      <c r="P2407" s="4">
        <v>42783</v>
      </c>
      <c r="Q2407" s="3" t="s">
        <v>27</v>
      </c>
      <c r="R2407" s="3" t="s">
        <v>28</v>
      </c>
      <c r="S2407" s="3" t="s">
        <v>29</v>
      </c>
      <c r="T2407" s="5">
        <v>3357.42</v>
      </c>
      <c r="U2407" s="5">
        <v>1447.72</v>
      </c>
      <c r="V2407" s="5">
        <v>1336.92</v>
      </c>
      <c r="W2407" s="3">
        <v>572.78</v>
      </c>
    </row>
    <row r="2408" spans="1:23" ht="60.75">
      <c r="A2408" s="3" t="s">
        <v>23</v>
      </c>
      <c r="B2408" s="3" t="s">
        <v>24</v>
      </c>
      <c r="C2408" s="3" t="s">
        <v>35</v>
      </c>
      <c r="D2408" s="3" t="s">
        <v>43</v>
      </c>
      <c r="E2408" s="3" t="s">
        <v>32</v>
      </c>
      <c r="F2408" s="3" t="s">
        <v>119</v>
      </c>
      <c r="G2408" s="3">
        <v>2016</v>
      </c>
      <c r="H2408" s="3" t="str">
        <f>CONCATENATE("64210501074")</f>
        <v>64210501074</v>
      </c>
      <c r="I2408" s="3" t="s">
        <v>25</v>
      </c>
      <c r="J2408" s="3" t="s">
        <v>26</v>
      </c>
      <c r="K2408" s="3" t="str">
        <f t="shared" si="74"/>
        <v/>
      </c>
      <c r="L2408" s="3" t="str">
        <f>CONCATENATE("13 13.1 4a")</f>
        <v>13 13.1 4a</v>
      </c>
      <c r="M2408" s="3" t="str">
        <f>CONCATENATE("CRMPLA63S27I608U")</f>
        <v>CRMPLA63S27I608U</v>
      </c>
      <c r="N2408" s="3" t="s">
        <v>2350</v>
      </c>
      <c r="O2408" s="3"/>
      <c r="P2408" s="4">
        <v>42783</v>
      </c>
      <c r="Q2408" s="3" t="s">
        <v>27</v>
      </c>
      <c r="R2408" s="3" t="s">
        <v>28</v>
      </c>
      <c r="S2408" s="3" t="s">
        <v>29</v>
      </c>
      <c r="T2408" s="5">
        <v>1106.73</v>
      </c>
      <c r="U2408" s="3">
        <v>477.22</v>
      </c>
      <c r="V2408" s="3">
        <v>440.7</v>
      </c>
      <c r="W2408" s="3">
        <v>188.81</v>
      </c>
    </row>
    <row r="2409" spans="1:23" ht="60.75">
      <c r="A2409" s="3" t="s">
        <v>23</v>
      </c>
      <c r="B2409" s="3" t="s">
        <v>24</v>
      </c>
      <c r="C2409" s="3" t="s">
        <v>35</v>
      </c>
      <c r="D2409" s="3" t="s">
        <v>43</v>
      </c>
      <c r="E2409" s="3" t="s">
        <v>30</v>
      </c>
      <c r="F2409" s="3" t="s">
        <v>109</v>
      </c>
      <c r="G2409" s="3">
        <v>2016</v>
      </c>
      <c r="H2409" s="3" t="str">
        <f>CONCATENATE("64240762019")</f>
        <v>64240762019</v>
      </c>
      <c r="I2409" s="3" t="s">
        <v>25</v>
      </c>
      <c r="J2409" s="3" t="s">
        <v>26</v>
      </c>
      <c r="K2409" s="3" t="str">
        <f t="shared" si="74"/>
        <v/>
      </c>
      <c r="L2409" s="3" t="str">
        <f>CONCATENATE("11 11.2 4b")</f>
        <v>11 11.2 4b</v>
      </c>
      <c r="M2409" s="3" t="str">
        <f>CONCATENATE("BLDDNC37D11D451E")</f>
        <v>BLDDNC37D11D451E</v>
      </c>
      <c r="N2409" s="3" t="s">
        <v>2351</v>
      </c>
      <c r="O2409" s="3"/>
      <c r="P2409" s="4">
        <v>42783</v>
      </c>
      <c r="Q2409" s="3" t="s">
        <v>27</v>
      </c>
      <c r="R2409" s="3" t="s">
        <v>28</v>
      </c>
      <c r="S2409" s="3" t="s">
        <v>29</v>
      </c>
      <c r="T2409" s="5">
        <v>3285.06</v>
      </c>
      <c r="U2409" s="5">
        <v>1416.52</v>
      </c>
      <c r="V2409" s="5">
        <v>1308.1099999999999</v>
      </c>
      <c r="W2409" s="3">
        <v>560.42999999999995</v>
      </c>
    </row>
    <row r="2410" spans="1:23" ht="60.75">
      <c r="A2410" s="3" t="s">
        <v>23</v>
      </c>
      <c r="B2410" s="3" t="s">
        <v>24</v>
      </c>
      <c r="C2410" s="3" t="s">
        <v>35</v>
      </c>
      <c r="D2410" s="3" t="s">
        <v>48</v>
      </c>
      <c r="E2410" s="3" t="s">
        <v>30</v>
      </c>
      <c r="F2410" s="3" t="s">
        <v>91</v>
      </c>
      <c r="G2410" s="3">
        <v>2016</v>
      </c>
      <c r="H2410" s="3" t="str">
        <f>CONCATENATE("64210591133")</f>
        <v>64210591133</v>
      </c>
      <c r="I2410" s="3" t="s">
        <v>25</v>
      </c>
      <c r="J2410" s="3" t="s">
        <v>26</v>
      </c>
      <c r="K2410" s="3" t="str">
        <f t="shared" si="74"/>
        <v/>
      </c>
      <c r="L2410" s="3" t="str">
        <f>CONCATENATE("13 13.1 4a")</f>
        <v>13 13.1 4a</v>
      </c>
      <c r="M2410" s="3" t="str">
        <f>CONCATENATE("PNTGLN68L15F460L")</f>
        <v>PNTGLN68L15F460L</v>
      </c>
      <c r="N2410" s="3" t="s">
        <v>2352</v>
      </c>
      <c r="O2410" s="3"/>
      <c r="P2410" s="4">
        <v>42783</v>
      </c>
      <c r="Q2410" s="3" t="s">
        <v>27</v>
      </c>
      <c r="R2410" s="3" t="s">
        <v>28</v>
      </c>
      <c r="S2410" s="3" t="s">
        <v>29</v>
      </c>
      <c r="T2410" s="5">
        <v>5234.84</v>
      </c>
      <c r="U2410" s="5">
        <v>2257.2600000000002</v>
      </c>
      <c r="V2410" s="5">
        <v>2084.5100000000002</v>
      </c>
      <c r="W2410" s="3">
        <v>893.07</v>
      </c>
    </row>
    <row r="2411" spans="1:23" ht="60.75">
      <c r="A2411" s="3" t="s">
        <v>23</v>
      </c>
      <c r="B2411" s="3" t="s">
        <v>24</v>
      </c>
      <c r="C2411" s="3" t="s">
        <v>35</v>
      </c>
      <c r="D2411" s="3" t="s">
        <v>43</v>
      </c>
      <c r="E2411" s="3" t="s">
        <v>32</v>
      </c>
      <c r="F2411" s="3" t="s">
        <v>119</v>
      </c>
      <c r="G2411" s="3">
        <v>2016</v>
      </c>
      <c r="H2411" s="3" t="str">
        <f>CONCATENATE("64240255204")</f>
        <v>64240255204</v>
      </c>
      <c r="I2411" s="3" t="s">
        <v>25</v>
      </c>
      <c r="J2411" s="3" t="s">
        <v>26</v>
      </c>
      <c r="K2411" s="3" t="str">
        <f t="shared" si="74"/>
        <v/>
      </c>
      <c r="L2411" s="3" t="str">
        <f>CONCATENATE("11 11.2 4b")</f>
        <v>11 11.2 4b</v>
      </c>
      <c r="M2411" s="3" t="str">
        <f>CONCATENATE("CRMPLA63S27I608U")</f>
        <v>CRMPLA63S27I608U</v>
      </c>
      <c r="N2411" s="3" t="s">
        <v>2350</v>
      </c>
      <c r="O2411" s="3"/>
      <c r="P2411" s="4">
        <v>42783</v>
      </c>
      <c r="Q2411" s="3" t="s">
        <v>27</v>
      </c>
      <c r="R2411" s="3" t="s">
        <v>28</v>
      </c>
      <c r="S2411" s="3" t="s">
        <v>29</v>
      </c>
      <c r="T2411" s="5">
        <v>1858.57</v>
      </c>
      <c r="U2411" s="3">
        <v>801.42</v>
      </c>
      <c r="V2411" s="3">
        <v>740.08</v>
      </c>
      <c r="W2411" s="3">
        <v>317.07</v>
      </c>
    </row>
    <row r="2412" spans="1:23" ht="72.75">
      <c r="A2412" s="3" t="s">
        <v>23</v>
      </c>
      <c r="B2412" s="3" t="s">
        <v>24</v>
      </c>
      <c r="C2412" s="3" t="s">
        <v>35</v>
      </c>
      <c r="D2412" s="3" t="s">
        <v>39</v>
      </c>
      <c r="E2412" s="3" t="s">
        <v>32</v>
      </c>
      <c r="F2412" s="3" t="s">
        <v>69</v>
      </c>
      <c r="G2412" s="3">
        <v>2016</v>
      </c>
      <c r="H2412" s="3" t="str">
        <f>CONCATENATE("64240502027")</f>
        <v>64240502027</v>
      </c>
      <c r="I2412" s="3" t="s">
        <v>25</v>
      </c>
      <c r="J2412" s="3" t="s">
        <v>26</v>
      </c>
      <c r="K2412" s="3" t="str">
        <f t="shared" si="74"/>
        <v/>
      </c>
      <c r="L2412" s="3" t="str">
        <f>CONCATENATE("11 11.2 4b")</f>
        <v>11 11.2 4b</v>
      </c>
      <c r="M2412" s="3" t="str">
        <f>CONCATENATE("MRUSVT68R14A978E")</f>
        <v>MRUSVT68R14A978E</v>
      </c>
      <c r="N2412" s="3" t="s">
        <v>2353</v>
      </c>
      <c r="O2412" s="3"/>
      <c r="P2412" s="4">
        <v>42783</v>
      </c>
      <c r="Q2412" s="3" t="s">
        <v>27</v>
      </c>
      <c r="R2412" s="3" t="s">
        <v>28</v>
      </c>
      <c r="S2412" s="3" t="s">
        <v>29</v>
      </c>
      <c r="T2412" s="5">
        <v>11042.13</v>
      </c>
      <c r="U2412" s="5">
        <v>4761.37</v>
      </c>
      <c r="V2412" s="5">
        <v>4396.9799999999996</v>
      </c>
      <c r="W2412" s="5">
        <v>1883.78</v>
      </c>
    </row>
    <row r="2413" spans="1:23" ht="60.75">
      <c r="A2413" s="3" t="s">
        <v>23</v>
      </c>
      <c r="B2413" s="3" t="s">
        <v>24</v>
      </c>
      <c r="C2413" s="3" t="s">
        <v>35</v>
      </c>
      <c r="D2413" s="3" t="s">
        <v>39</v>
      </c>
      <c r="E2413" s="3" t="s">
        <v>32</v>
      </c>
      <c r="F2413" s="3" t="s">
        <v>69</v>
      </c>
      <c r="G2413" s="3">
        <v>2016</v>
      </c>
      <c r="H2413" s="3" t="str">
        <f>CONCATENATE("64240589503")</f>
        <v>64240589503</v>
      </c>
      <c r="I2413" s="3" t="s">
        <v>25</v>
      </c>
      <c r="J2413" s="3" t="s">
        <v>26</v>
      </c>
      <c r="K2413" s="3" t="str">
        <f t="shared" si="74"/>
        <v/>
      </c>
      <c r="L2413" s="3" t="str">
        <f>CONCATENATE("11 11.2 4b")</f>
        <v>11 11.2 4b</v>
      </c>
      <c r="M2413" s="3" t="str">
        <f>CONCATENATE("PTRGZN57T29A366B")</f>
        <v>PTRGZN57T29A366B</v>
      </c>
      <c r="N2413" s="3" t="s">
        <v>2354</v>
      </c>
      <c r="O2413" s="3"/>
      <c r="P2413" s="4">
        <v>42783</v>
      </c>
      <c r="Q2413" s="3" t="s">
        <v>27</v>
      </c>
      <c r="R2413" s="3" t="s">
        <v>28</v>
      </c>
      <c r="S2413" s="3" t="s">
        <v>29</v>
      </c>
      <c r="T2413" s="5">
        <v>8394.5300000000007</v>
      </c>
      <c r="U2413" s="5">
        <v>3619.72</v>
      </c>
      <c r="V2413" s="5">
        <v>3342.7</v>
      </c>
      <c r="W2413" s="5">
        <v>1432.11</v>
      </c>
    </row>
    <row r="2414" spans="1:23" ht="60.75">
      <c r="A2414" s="3" t="s">
        <v>23</v>
      </c>
      <c r="B2414" s="3" t="s">
        <v>24</v>
      </c>
      <c r="C2414" s="3" t="s">
        <v>35</v>
      </c>
      <c r="D2414" s="3" t="s">
        <v>48</v>
      </c>
      <c r="E2414" s="3" t="s">
        <v>30</v>
      </c>
      <c r="F2414" s="3" t="s">
        <v>91</v>
      </c>
      <c r="G2414" s="3">
        <v>2016</v>
      </c>
      <c r="H2414" s="3" t="str">
        <f>CONCATENATE("64210511255")</f>
        <v>64210511255</v>
      </c>
      <c r="I2414" s="3" t="s">
        <v>25</v>
      </c>
      <c r="J2414" s="3" t="s">
        <v>26</v>
      </c>
      <c r="K2414" s="3" t="str">
        <f t="shared" si="74"/>
        <v/>
      </c>
      <c r="L2414" s="3" t="str">
        <f>CONCATENATE("13 13.1 4a")</f>
        <v>13 13.1 4a</v>
      </c>
      <c r="M2414" s="3" t="str">
        <f>CONCATENATE("TCCVNZ44D24I569K")</f>
        <v>TCCVNZ44D24I569K</v>
      </c>
      <c r="N2414" s="3" t="s">
        <v>2355</v>
      </c>
      <c r="O2414" s="3"/>
      <c r="P2414" s="4">
        <v>42783</v>
      </c>
      <c r="Q2414" s="3" t="s">
        <v>27</v>
      </c>
      <c r="R2414" s="3" t="s">
        <v>28</v>
      </c>
      <c r="S2414" s="3" t="s">
        <v>29</v>
      </c>
      <c r="T2414" s="5">
        <v>4518.18</v>
      </c>
      <c r="U2414" s="5">
        <v>1948.24</v>
      </c>
      <c r="V2414" s="5">
        <v>1799.14</v>
      </c>
      <c r="W2414" s="3">
        <v>770.8</v>
      </c>
    </row>
    <row r="2415" spans="1:23" ht="60.75">
      <c r="A2415" s="3" t="s">
        <v>23</v>
      </c>
      <c r="B2415" s="3" t="s">
        <v>24</v>
      </c>
      <c r="C2415" s="3" t="s">
        <v>35</v>
      </c>
      <c r="D2415" s="3" t="s">
        <v>43</v>
      </c>
      <c r="E2415" s="3" t="s">
        <v>30</v>
      </c>
      <c r="F2415" s="3" t="s">
        <v>113</v>
      </c>
      <c r="G2415" s="3">
        <v>2016</v>
      </c>
      <c r="H2415" s="3" t="str">
        <f>CONCATENATE("64240793915")</f>
        <v>64240793915</v>
      </c>
      <c r="I2415" s="3" t="s">
        <v>25</v>
      </c>
      <c r="J2415" s="3" t="s">
        <v>26</v>
      </c>
      <c r="K2415" s="3" t="str">
        <f t="shared" si="74"/>
        <v/>
      </c>
      <c r="L2415" s="3" t="str">
        <f>CONCATENATE("11 11.1 4b")</f>
        <v>11 11.1 4b</v>
      </c>
      <c r="M2415" s="3" t="str">
        <f>CONCATENATE("BCCGPR63R24A327S")</f>
        <v>BCCGPR63R24A327S</v>
      </c>
      <c r="N2415" s="3" t="s">
        <v>2356</v>
      </c>
      <c r="O2415" s="3"/>
      <c r="P2415" s="4">
        <v>42783</v>
      </c>
      <c r="Q2415" s="3" t="s">
        <v>27</v>
      </c>
      <c r="R2415" s="3" t="s">
        <v>28</v>
      </c>
      <c r="S2415" s="3" t="s">
        <v>29</v>
      </c>
      <c r="T2415" s="5">
        <v>1448.23</v>
      </c>
      <c r="U2415" s="3">
        <v>624.48</v>
      </c>
      <c r="V2415" s="3">
        <v>576.69000000000005</v>
      </c>
      <c r="W2415" s="3">
        <v>247.06</v>
      </c>
    </row>
    <row r="2416" spans="1:23" ht="60.75">
      <c r="A2416" s="3" t="s">
        <v>23</v>
      </c>
      <c r="B2416" s="3" t="s">
        <v>24</v>
      </c>
      <c r="C2416" s="3" t="s">
        <v>35</v>
      </c>
      <c r="D2416" s="3" t="s">
        <v>48</v>
      </c>
      <c r="E2416" s="3" t="s">
        <v>30</v>
      </c>
      <c r="F2416" s="3" t="s">
        <v>91</v>
      </c>
      <c r="G2416" s="3">
        <v>2016</v>
      </c>
      <c r="H2416" s="3" t="str">
        <f>CONCATENATE("64240314845")</f>
        <v>64240314845</v>
      </c>
      <c r="I2416" s="3" t="s">
        <v>25</v>
      </c>
      <c r="J2416" s="3" t="s">
        <v>26</v>
      </c>
      <c r="K2416" s="3" t="str">
        <f t="shared" si="74"/>
        <v/>
      </c>
      <c r="L2416" s="3" t="str">
        <f>CONCATENATE("11 11.1 4b")</f>
        <v>11 11.1 4b</v>
      </c>
      <c r="M2416" s="3" t="str">
        <f>CONCATENATE("CHMMCR87C54B474F")</f>
        <v>CHMMCR87C54B474F</v>
      </c>
      <c r="N2416" s="3" t="s">
        <v>2357</v>
      </c>
      <c r="O2416" s="3"/>
      <c r="P2416" s="4">
        <v>42783</v>
      </c>
      <c r="Q2416" s="3" t="s">
        <v>27</v>
      </c>
      <c r="R2416" s="3" t="s">
        <v>28</v>
      </c>
      <c r="S2416" s="3" t="s">
        <v>29</v>
      </c>
      <c r="T2416" s="5">
        <v>10440.69</v>
      </c>
      <c r="U2416" s="5">
        <v>4502.03</v>
      </c>
      <c r="V2416" s="5">
        <v>4157.4799999999996</v>
      </c>
      <c r="W2416" s="5">
        <v>1781.18</v>
      </c>
    </row>
    <row r="2417" spans="1:23" ht="60.75">
      <c r="A2417" s="3" t="s">
        <v>23</v>
      </c>
      <c r="B2417" s="3" t="s">
        <v>24</v>
      </c>
      <c r="C2417" s="3" t="s">
        <v>35</v>
      </c>
      <c r="D2417" s="3" t="s">
        <v>48</v>
      </c>
      <c r="E2417" s="3" t="s">
        <v>30</v>
      </c>
      <c r="F2417" s="3" t="s">
        <v>91</v>
      </c>
      <c r="G2417" s="3">
        <v>2016</v>
      </c>
      <c r="H2417" s="3" t="str">
        <f>CONCATENATE("64240371555")</f>
        <v>64240371555</v>
      </c>
      <c r="I2417" s="3" t="s">
        <v>25</v>
      </c>
      <c r="J2417" s="3" t="s">
        <v>26</v>
      </c>
      <c r="K2417" s="3" t="str">
        <f t="shared" si="74"/>
        <v/>
      </c>
      <c r="L2417" s="3" t="str">
        <f t="shared" ref="L2417:L2429" si="75">CONCATENATE("11 11.2 4b")</f>
        <v>11 11.2 4b</v>
      </c>
      <c r="M2417" s="3" t="str">
        <f>CONCATENATE("CPPGLN61S26F051Y")</f>
        <v>CPPGLN61S26F051Y</v>
      </c>
      <c r="N2417" s="3" t="s">
        <v>2358</v>
      </c>
      <c r="O2417" s="3"/>
      <c r="P2417" s="4">
        <v>42783</v>
      </c>
      <c r="Q2417" s="3" t="s">
        <v>27</v>
      </c>
      <c r="R2417" s="3" t="s">
        <v>28</v>
      </c>
      <c r="S2417" s="3" t="s">
        <v>29</v>
      </c>
      <c r="T2417" s="5">
        <v>12854.24</v>
      </c>
      <c r="U2417" s="5">
        <v>5542.75</v>
      </c>
      <c r="V2417" s="5">
        <v>5118.5600000000004</v>
      </c>
      <c r="W2417" s="5">
        <v>2192.9299999999998</v>
      </c>
    </row>
    <row r="2418" spans="1:23" ht="60.75">
      <c r="A2418" s="3" t="s">
        <v>23</v>
      </c>
      <c r="B2418" s="3" t="s">
        <v>24</v>
      </c>
      <c r="C2418" s="3" t="s">
        <v>35</v>
      </c>
      <c r="D2418" s="3" t="s">
        <v>48</v>
      </c>
      <c r="E2418" s="3" t="s">
        <v>30</v>
      </c>
      <c r="F2418" s="3" t="s">
        <v>111</v>
      </c>
      <c r="G2418" s="3">
        <v>2016</v>
      </c>
      <c r="H2418" s="3" t="str">
        <f>CONCATENATE("64240819330")</f>
        <v>64240819330</v>
      </c>
      <c r="I2418" s="3" t="s">
        <v>25</v>
      </c>
      <c r="J2418" s="3" t="s">
        <v>26</v>
      </c>
      <c r="K2418" s="3" t="str">
        <f t="shared" si="74"/>
        <v/>
      </c>
      <c r="L2418" s="3" t="str">
        <f t="shared" si="75"/>
        <v>11 11.2 4b</v>
      </c>
      <c r="M2418" s="3" t="str">
        <f>CONCATENATE("GRZGCM85M11L191L")</f>
        <v>GRZGCM85M11L191L</v>
      </c>
      <c r="N2418" s="3" t="s">
        <v>2359</v>
      </c>
      <c r="O2418" s="3"/>
      <c r="P2418" s="4">
        <v>42783</v>
      </c>
      <c r="Q2418" s="3" t="s">
        <v>27</v>
      </c>
      <c r="R2418" s="3" t="s">
        <v>28</v>
      </c>
      <c r="S2418" s="3" t="s">
        <v>29</v>
      </c>
      <c r="T2418" s="5">
        <v>9506.41</v>
      </c>
      <c r="U2418" s="5">
        <v>4099.16</v>
      </c>
      <c r="V2418" s="5">
        <v>3785.45</v>
      </c>
      <c r="W2418" s="5">
        <v>1621.8</v>
      </c>
    </row>
    <row r="2419" spans="1:23" ht="36.75">
      <c r="A2419" s="3" t="s">
        <v>23</v>
      </c>
      <c r="B2419" s="3" t="s">
        <v>24</v>
      </c>
      <c r="C2419" s="3" t="s">
        <v>35</v>
      </c>
      <c r="D2419" s="3" t="s">
        <v>43</v>
      </c>
      <c r="E2419" s="3" t="s">
        <v>33</v>
      </c>
      <c r="F2419" s="3" t="s">
        <v>848</v>
      </c>
      <c r="G2419" s="3">
        <v>2016</v>
      </c>
      <c r="H2419" s="3" t="str">
        <f>CONCATENATE("64240636841")</f>
        <v>64240636841</v>
      </c>
      <c r="I2419" s="3" t="s">
        <v>25</v>
      </c>
      <c r="J2419" s="3" t="s">
        <v>26</v>
      </c>
      <c r="K2419" s="3" t="str">
        <f t="shared" si="74"/>
        <v/>
      </c>
      <c r="L2419" s="3" t="str">
        <f t="shared" si="75"/>
        <v>11 11.2 4b</v>
      </c>
      <c r="M2419" s="3" t="str">
        <f>CONCATENATE("01281670412")</f>
        <v>01281670412</v>
      </c>
      <c r="N2419" s="3" t="s">
        <v>2360</v>
      </c>
      <c r="O2419" s="3"/>
      <c r="P2419" s="4">
        <v>42783</v>
      </c>
      <c r="Q2419" s="3" t="s">
        <v>27</v>
      </c>
      <c r="R2419" s="3" t="s">
        <v>28</v>
      </c>
      <c r="S2419" s="3" t="s">
        <v>29</v>
      </c>
      <c r="T2419" s="5">
        <v>7803.2</v>
      </c>
      <c r="U2419" s="5">
        <v>3364.74</v>
      </c>
      <c r="V2419" s="5">
        <v>3107.23</v>
      </c>
      <c r="W2419" s="5">
        <v>1331.23</v>
      </c>
    </row>
    <row r="2420" spans="1:23" ht="60.75">
      <c r="A2420" s="3" t="s">
        <v>23</v>
      </c>
      <c r="B2420" s="3" t="s">
        <v>24</v>
      </c>
      <c r="C2420" s="3" t="s">
        <v>35</v>
      </c>
      <c r="D2420" s="3" t="s">
        <v>43</v>
      </c>
      <c r="E2420" s="3" t="s">
        <v>30</v>
      </c>
      <c r="F2420" s="3" t="s">
        <v>124</v>
      </c>
      <c r="G2420" s="3">
        <v>2016</v>
      </c>
      <c r="H2420" s="3" t="str">
        <f>CONCATENATE("64240311080")</f>
        <v>64240311080</v>
      </c>
      <c r="I2420" s="3" t="s">
        <v>25</v>
      </c>
      <c r="J2420" s="3" t="s">
        <v>26</v>
      </c>
      <c r="K2420" s="3" t="str">
        <f t="shared" si="74"/>
        <v/>
      </c>
      <c r="L2420" s="3" t="str">
        <f t="shared" si="75"/>
        <v>11 11.2 4b</v>
      </c>
      <c r="M2420" s="3" t="str">
        <f>CONCATENATE("CLTGLN64P52L182F")</f>
        <v>CLTGLN64P52L182F</v>
      </c>
      <c r="N2420" s="3" t="s">
        <v>2361</v>
      </c>
      <c r="O2420" s="3"/>
      <c r="P2420" s="4">
        <v>42783</v>
      </c>
      <c r="Q2420" s="3" t="s">
        <v>27</v>
      </c>
      <c r="R2420" s="3" t="s">
        <v>28</v>
      </c>
      <c r="S2420" s="3" t="s">
        <v>29</v>
      </c>
      <c r="T2420" s="5">
        <v>2373.17</v>
      </c>
      <c r="U2420" s="5">
        <v>1023.31</v>
      </c>
      <c r="V2420" s="3">
        <v>945</v>
      </c>
      <c r="W2420" s="3">
        <v>404.86</v>
      </c>
    </row>
    <row r="2421" spans="1:23" ht="60.75">
      <c r="A2421" s="3" t="s">
        <v>23</v>
      </c>
      <c r="B2421" s="3" t="s">
        <v>24</v>
      </c>
      <c r="C2421" s="3" t="s">
        <v>35</v>
      </c>
      <c r="D2421" s="3" t="s">
        <v>36</v>
      </c>
      <c r="E2421" s="3" t="s">
        <v>30</v>
      </c>
      <c r="F2421" s="3" t="s">
        <v>37</v>
      </c>
      <c r="G2421" s="3">
        <v>2016</v>
      </c>
      <c r="H2421" s="3" t="str">
        <f>CONCATENATE("64240562104")</f>
        <v>64240562104</v>
      </c>
      <c r="I2421" s="3" t="s">
        <v>25</v>
      </c>
      <c r="J2421" s="3" t="s">
        <v>26</v>
      </c>
      <c r="K2421" s="3" t="str">
        <f t="shared" si="74"/>
        <v/>
      </c>
      <c r="L2421" s="3" t="str">
        <f t="shared" si="75"/>
        <v>11 11.2 4b</v>
      </c>
      <c r="M2421" s="3" t="str">
        <f>CONCATENATE("MNNGRL65A07F501C")</f>
        <v>MNNGRL65A07F501C</v>
      </c>
      <c r="N2421" s="3" t="s">
        <v>2362</v>
      </c>
      <c r="O2421" s="3"/>
      <c r="P2421" s="4">
        <v>42783</v>
      </c>
      <c r="Q2421" s="3" t="s">
        <v>27</v>
      </c>
      <c r="R2421" s="3" t="s">
        <v>28</v>
      </c>
      <c r="S2421" s="3" t="s">
        <v>29</v>
      </c>
      <c r="T2421" s="5">
        <v>14711.01</v>
      </c>
      <c r="U2421" s="5">
        <v>6343.39</v>
      </c>
      <c r="V2421" s="5">
        <v>5857.92</v>
      </c>
      <c r="W2421" s="5">
        <v>2509.6999999999998</v>
      </c>
    </row>
    <row r="2422" spans="1:23" ht="36.75">
      <c r="A2422" s="3" t="s">
        <v>23</v>
      </c>
      <c r="B2422" s="3" t="s">
        <v>24</v>
      </c>
      <c r="C2422" s="3" t="s">
        <v>35</v>
      </c>
      <c r="D2422" s="3" t="s">
        <v>43</v>
      </c>
      <c r="E2422" s="3" t="s">
        <v>49</v>
      </c>
      <c r="F2422" s="3" t="s">
        <v>276</v>
      </c>
      <c r="G2422" s="3">
        <v>2016</v>
      </c>
      <c r="H2422" s="3" t="str">
        <f>CONCATENATE("64240585824")</f>
        <v>64240585824</v>
      </c>
      <c r="I2422" s="3" t="s">
        <v>25</v>
      </c>
      <c r="J2422" s="3" t="s">
        <v>26</v>
      </c>
      <c r="K2422" s="3" t="str">
        <f t="shared" si="74"/>
        <v/>
      </c>
      <c r="L2422" s="3" t="str">
        <f t="shared" si="75"/>
        <v>11 11.2 4b</v>
      </c>
      <c r="M2422" s="3" t="str">
        <f>CONCATENATE("02461270411")</f>
        <v>02461270411</v>
      </c>
      <c r="N2422" s="3" t="s">
        <v>2363</v>
      </c>
      <c r="O2422" s="3"/>
      <c r="P2422" s="4">
        <v>42783</v>
      </c>
      <c r="Q2422" s="3" t="s">
        <v>27</v>
      </c>
      <c r="R2422" s="3" t="s">
        <v>28</v>
      </c>
      <c r="S2422" s="3" t="s">
        <v>29</v>
      </c>
      <c r="T2422" s="5">
        <v>19482.400000000001</v>
      </c>
      <c r="U2422" s="5">
        <v>8400.81</v>
      </c>
      <c r="V2422" s="5">
        <v>7757.89</v>
      </c>
      <c r="W2422" s="5">
        <v>3323.7</v>
      </c>
    </row>
    <row r="2423" spans="1:23" ht="72.75">
      <c r="A2423" s="3" t="s">
        <v>23</v>
      </c>
      <c r="B2423" s="3" t="s">
        <v>24</v>
      </c>
      <c r="C2423" s="3" t="s">
        <v>35</v>
      </c>
      <c r="D2423" s="3" t="s">
        <v>36</v>
      </c>
      <c r="E2423" s="3" t="s">
        <v>42</v>
      </c>
      <c r="F2423" s="3" t="s">
        <v>42</v>
      </c>
      <c r="G2423" s="3">
        <v>2016</v>
      </c>
      <c r="H2423" s="3" t="str">
        <f>CONCATENATE("64240103131")</f>
        <v>64240103131</v>
      </c>
      <c r="I2423" s="3" t="s">
        <v>25</v>
      </c>
      <c r="J2423" s="3" t="s">
        <v>26</v>
      </c>
      <c r="K2423" s="3" t="str">
        <f t="shared" si="74"/>
        <v/>
      </c>
      <c r="L2423" s="3" t="str">
        <f t="shared" si="75"/>
        <v>11 11.2 4b</v>
      </c>
      <c r="M2423" s="3" t="str">
        <f>CONCATENATE("TLMGRM44A18G005T")</f>
        <v>TLMGRM44A18G005T</v>
      </c>
      <c r="N2423" s="3" t="s">
        <v>2364</v>
      </c>
      <c r="O2423" s="3"/>
      <c r="P2423" s="4">
        <v>42783</v>
      </c>
      <c r="Q2423" s="3" t="s">
        <v>27</v>
      </c>
      <c r="R2423" s="3" t="s">
        <v>28</v>
      </c>
      <c r="S2423" s="3" t="s">
        <v>29</v>
      </c>
      <c r="T2423" s="5">
        <v>1587.29</v>
      </c>
      <c r="U2423" s="3">
        <v>684.44</v>
      </c>
      <c r="V2423" s="3">
        <v>632.05999999999995</v>
      </c>
      <c r="W2423" s="3">
        <v>270.79000000000002</v>
      </c>
    </row>
    <row r="2424" spans="1:23" ht="60.75">
      <c r="A2424" s="3" t="s">
        <v>23</v>
      </c>
      <c r="B2424" s="3" t="s">
        <v>24</v>
      </c>
      <c r="C2424" s="3" t="s">
        <v>35</v>
      </c>
      <c r="D2424" s="3" t="s">
        <v>36</v>
      </c>
      <c r="E2424" s="3" t="s">
        <v>42</v>
      </c>
      <c r="F2424" s="3" t="s">
        <v>42</v>
      </c>
      <c r="G2424" s="3">
        <v>2016</v>
      </c>
      <c r="H2424" s="3" t="str">
        <f>CONCATENATE("64240042404")</f>
        <v>64240042404</v>
      </c>
      <c r="I2424" s="3" t="s">
        <v>25</v>
      </c>
      <c r="J2424" s="3" t="s">
        <v>26</v>
      </c>
      <c r="K2424" s="3" t="str">
        <f t="shared" si="74"/>
        <v/>
      </c>
      <c r="L2424" s="3" t="str">
        <f t="shared" si="75"/>
        <v>11 11.2 4b</v>
      </c>
      <c r="M2424" s="3" t="str">
        <f>CONCATENATE("CPRLSN64C03H769Q")</f>
        <v>CPRLSN64C03H769Q</v>
      </c>
      <c r="N2424" s="3" t="s">
        <v>2365</v>
      </c>
      <c r="O2424" s="3"/>
      <c r="P2424" s="4">
        <v>42783</v>
      </c>
      <c r="Q2424" s="3" t="s">
        <v>27</v>
      </c>
      <c r="R2424" s="3" t="s">
        <v>28</v>
      </c>
      <c r="S2424" s="3" t="s">
        <v>29</v>
      </c>
      <c r="T2424" s="5">
        <v>5497.71</v>
      </c>
      <c r="U2424" s="5">
        <v>2370.61</v>
      </c>
      <c r="V2424" s="5">
        <v>2189.19</v>
      </c>
      <c r="W2424" s="3">
        <v>937.91</v>
      </c>
    </row>
    <row r="2425" spans="1:23" ht="36.75">
      <c r="A2425" s="3" t="s">
        <v>23</v>
      </c>
      <c r="B2425" s="3" t="s">
        <v>24</v>
      </c>
      <c r="C2425" s="3" t="s">
        <v>35</v>
      </c>
      <c r="D2425" s="3" t="s">
        <v>43</v>
      </c>
      <c r="E2425" s="3" t="s">
        <v>30</v>
      </c>
      <c r="F2425" s="3" t="s">
        <v>113</v>
      </c>
      <c r="G2425" s="3">
        <v>2016</v>
      </c>
      <c r="H2425" s="3" t="str">
        <f>CONCATENATE("64240365045")</f>
        <v>64240365045</v>
      </c>
      <c r="I2425" s="3" t="s">
        <v>25</v>
      </c>
      <c r="J2425" s="3" t="s">
        <v>26</v>
      </c>
      <c r="K2425" s="3" t="str">
        <f t="shared" si="74"/>
        <v/>
      </c>
      <c r="L2425" s="3" t="str">
        <f t="shared" si="75"/>
        <v>11 11.2 4b</v>
      </c>
      <c r="M2425" s="3" t="str">
        <f>CONCATENATE("02452270412")</f>
        <v>02452270412</v>
      </c>
      <c r="N2425" s="3" t="s">
        <v>2366</v>
      </c>
      <c r="O2425" s="3"/>
      <c r="P2425" s="4">
        <v>42783</v>
      </c>
      <c r="Q2425" s="3" t="s">
        <v>27</v>
      </c>
      <c r="R2425" s="3" t="s">
        <v>28</v>
      </c>
      <c r="S2425" s="3" t="s">
        <v>29</v>
      </c>
      <c r="T2425" s="5">
        <v>1636.61</v>
      </c>
      <c r="U2425" s="3">
        <v>705.71</v>
      </c>
      <c r="V2425" s="3">
        <v>651.70000000000005</v>
      </c>
      <c r="W2425" s="3">
        <v>279.2</v>
      </c>
    </row>
    <row r="2426" spans="1:23" ht="60.75">
      <c r="A2426" s="3" t="s">
        <v>23</v>
      </c>
      <c r="B2426" s="3" t="s">
        <v>24</v>
      </c>
      <c r="C2426" s="3" t="s">
        <v>35</v>
      </c>
      <c r="D2426" s="3" t="s">
        <v>48</v>
      </c>
      <c r="E2426" s="3" t="s">
        <v>49</v>
      </c>
      <c r="F2426" s="3" t="s">
        <v>50</v>
      </c>
      <c r="G2426" s="3">
        <v>2016</v>
      </c>
      <c r="H2426" s="3" t="str">
        <f>CONCATENATE("64240887709")</f>
        <v>64240887709</v>
      </c>
      <c r="I2426" s="3" t="s">
        <v>25</v>
      </c>
      <c r="J2426" s="3" t="s">
        <v>26</v>
      </c>
      <c r="K2426" s="3" t="str">
        <f t="shared" si="74"/>
        <v/>
      </c>
      <c r="L2426" s="3" t="str">
        <f t="shared" si="75"/>
        <v>11 11.2 4b</v>
      </c>
      <c r="M2426" s="3" t="str">
        <f>CONCATENATE("DPLDAA31C68C781R")</f>
        <v>DPLDAA31C68C781R</v>
      </c>
      <c r="N2426" s="3" t="s">
        <v>2367</v>
      </c>
      <c r="O2426" s="3"/>
      <c r="P2426" s="4">
        <v>42783</v>
      </c>
      <c r="Q2426" s="3" t="s">
        <v>27</v>
      </c>
      <c r="R2426" s="3" t="s">
        <v>28</v>
      </c>
      <c r="S2426" s="3" t="s">
        <v>29</v>
      </c>
      <c r="T2426" s="5">
        <v>2866.25</v>
      </c>
      <c r="U2426" s="5">
        <v>1235.93</v>
      </c>
      <c r="V2426" s="5">
        <v>1141.3399999999999</v>
      </c>
      <c r="W2426" s="3">
        <v>488.98</v>
      </c>
    </row>
    <row r="2427" spans="1:23" ht="72.75">
      <c r="A2427" s="3" t="s">
        <v>23</v>
      </c>
      <c r="B2427" s="3" t="s">
        <v>24</v>
      </c>
      <c r="C2427" s="3" t="s">
        <v>35</v>
      </c>
      <c r="D2427" s="3" t="s">
        <v>36</v>
      </c>
      <c r="E2427" s="3" t="s">
        <v>30</v>
      </c>
      <c r="F2427" s="3" t="s">
        <v>37</v>
      </c>
      <c r="G2427" s="3">
        <v>2016</v>
      </c>
      <c r="H2427" s="3" t="str">
        <f>CONCATENATE("64240532636")</f>
        <v>64240532636</v>
      </c>
      <c r="I2427" s="3" t="s">
        <v>25</v>
      </c>
      <c r="J2427" s="3" t="s">
        <v>26</v>
      </c>
      <c r="K2427" s="3" t="str">
        <f t="shared" si="74"/>
        <v/>
      </c>
      <c r="L2427" s="3" t="str">
        <f t="shared" si="75"/>
        <v>11 11.2 4b</v>
      </c>
      <c r="M2427" s="3" t="str">
        <f>CONCATENATE("PLNVCN49R14B727Q")</f>
        <v>PLNVCN49R14B727Q</v>
      </c>
      <c r="N2427" s="3" t="s">
        <v>2368</v>
      </c>
      <c r="O2427" s="3"/>
      <c r="P2427" s="4">
        <v>42783</v>
      </c>
      <c r="Q2427" s="3" t="s">
        <v>27</v>
      </c>
      <c r="R2427" s="3" t="s">
        <v>28</v>
      </c>
      <c r="S2427" s="3" t="s">
        <v>29</v>
      </c>
      <c r="T2427" s="5">
        <v>6760.31</v>
      </c>
      <c r="U2427" s="5">
        <v>2915.05</v>
      </c>
      <c r="V2427" s="5">
        <v>2691.96</v>
      </c>
      <c r="W2427" s="5">
        <v>1153.3</v>
      </c>
    </row>
    <row r="2428" spans="1:23" ht="60.75">
      <c r="A2428" s="3" t="s">
        <v>23</v>
      </c>
      <c r="B2428" s="3" t="s">
        <v>24</v>
      </c>
      <c r="C2428" s="3" t="s">
        <v>35</v>
      </c>
      <c r="D2428" s="3" t="s">
        <v>43</v>
      </c>
      <c r="E2428" s="3" t="s">
        <v>30</v>
      </c>
      <c r="F2428" s="3" t="s">
        <v>104</v>
      </c>
      <c r="G2428" s="3">
        <v>2016</v>
      </c>
      <c r="H2428" s="3" t="str">
        <f>CONCATENATE("64240249355")</f>
        <v>64240249355</v>
      </c>
      <c r="I2428" s="3" t="s">
        <v>25</v>
      </c>
      <c r="J2428" s="3" t="s">
        <v>26</v>
      </c>
      <c r="K2428" s="3" t="str">
        <f t="shared" si="74"/>
        <v/>
      </c>
      <c r="L2428" s="3" t="str">
        <f t="shared" si="75"/>
        <v>11 11.2 4b</v>
      </c>
      <c r="M2428" s="3" t="str">
        <f>CONCATENATE("BRTMRC85D11L500G")</f>
        <v>BRTMRC85D11L500G</v>
      </c>
      <c r="N2428" s="3" t="s">
        <v>2369</v>
      </c>
      <c r="O2428" s="3"/>
      <c r="P2428" s="4">
        <v>42783</v>
      </c>
      <c r="Q2428" s="3" t="s">
        <v>27</v>
      </c>
      <c r="R2428" s="3" t="s">
        <v>28</v>
      </c>
      <c r="S2428" s="3" t="s">
        <v>29</v>
      </c>
      <c r="T2428" s="5">
        <v>5738.18</v>
      </c>
      <c r="U2428" s="5">
        <v>2474.3000000000002</v>
      </c>
      <c r="V2428" s="5">
        <v>2284.94</v>
      </c>
      <c r="W2428" s="3">
        <v>978.94</v>
      </c>
    </row>
    <row r="2429" spans="1:23" ht="60.75">
      <c r="A2429" s="3" t="s">
        <v>23</v>
      </c>
      <c r="B2429" s="3" t="s">
        <v>24</v>
      </c>
      <c r="C2429" s="3" t="s">
        <v>35</v>
      </c>
      <c r="D2429" s="3" t="s">
        <v>48</v>
      </c>
      <c r="E2429" s="3" t="s">
        <v>59</v>
      </c>
      <c r="F2429" s="3" t="s">
        <v>240</v>
      </c>
      <c r="G2429" s="3">
        <v>2016</v>
      </c>
      <c r="H2429" s="3" t="str">
        <f>CONCATENATE("64240360319")</f>
        <v>64240360319</v>
      </c>
      <c r="I2429" s="3" t="s">
        <v>25</v>
      </c>
      <c r="J2429" s="3" t="s">
        <v>26</v>
      </c>
      <c r="K2429" s="3" t="str">
        <f t="shared" si="74"/>
        <v/>
      </c>
      <c r="L2429" s="3" t="str">
        <f t="shared" si="75"/>
        <v>11 11.2 4b</v>
      </c>
      <c r="M2429" s="3" t="str">
        <f>CONCATENATE("CLMPLG62P24F567B")</f>
        <v>CLMPLG62P24F567B</v>
      </c>
      <c r="N2429" s="3" t="s">
        <v>2370</v>
      </c>
      <c r="O2429" s="3"/>
      <c r="P2429" s="4">
        <v>42783</v>
      </c>
      <c r="Q2429" s="3" t="s">
        <v>27</v>
      </c>
      <c r="R2429" s="3" t="s">
        <v>28</v>
      </c>
      <c r="S2429" s="3" t="s">
        <v>29</v>
      </c>
      <c r="T2429" s="5">
        <v>12598.44</v>
      </c>
      <c r="U2429" s="5">
        <v>5432.45</v>
      </c>
      <c r="V2429" s="5">
        <v>5016.7</v>
      </c>
      <c r="W2429" s="5">
        <v>2149.29</v>
      </c>
    </row>
    <row r="2430" spans="1:23" ht="60.75">
      <c r="A2430" s="3" t="s">
        <v>23</v>
      </c>
      <c r="B2430" s="3" t="s">
        <v>24</v>
      </c>
      <c r="C2430" s="3" t="s">
        <v>35</v>
      </c>
      <c r="D2430" s="3" t="s">
        <v>43</v>
      </c>
      <c r="E2430" s="3" t="s">
        <v>32</v>
      </c>
      <c r="F2430" s="3" t="s">
        <v>119</v>
      </c>
      <c r="G2430" s="3">
        <v>2016</v>
      </c>
      <c r="H2430" s="3" t="str">
        <f>CONCATENATE("64210508269")</f>
        <v>64210508269</v>
      </c>
      <c r="I2430" s="3" t="s">
        <v>25</v>
      </c>
      <c r="J2430" s="3" t="s">
        <v>26</v>
      </c>
      <c r="K2430" s="3" t="str">
        <f t="shared" si="74"/>
        <v/>
      </c>
      <c r="L2430" s="3" t="str">
        <f>CONCATENATE("13 13.1 4a")</f>
        <v>13 13.1 4a</v>
      </c>
      <c r="M2430" s="3" t="str">
        <f>CONCATENATE("BCLVNI41P51E256Y")</f>
        <v>BCLVNI41P51E256Y</v>
      </c>
      <c r="N2430" s="3" t="s">
        <v>2371</v>
      </c>
      <c r="O2430" s="3"/>
      <c r="P2430" s="4">
        <v>42783</v>
      </c>
      <c r="Q2430" s="3" t="s">
        <v>27</v>
      </c>
      <c r="R2430" s="3" t="s">
        <v>28</v>
      </c>
      <c r="S2430" s="3" t="s">
        <v>29</v>
      </c>
      <c r="T2430" s="5">
        <v>1915.7</v>
      </c>
      <c r="U2430" s="3">
        <v>826.05</v>
      </c>
      <c r="V2430" s="3">
        <v>762.83</v>
      </c>
      <c r="W2430" s="3">
        <v>326.82</v>
      </c>
    </row>
    <row r="2431" spans="1:23" ht="60.75">
      <c r="A2431" s="3" t="s">
        <v>23</v>
      </c>
      <c r="B2431" s="3" t="s">
        <v>24</v>
      </c>
      <c r="C2431" s="3" t="s">
        <v>35</v>
      </c>
      <c r="D2431" s="3" t="s">
        <v>43</v>
      </c>
      <c r="E2431" s="3" t="s">
        <v>49</v>
      </c>
      <c r="F2431" s="3" t="s">
        <v>139</v>
      </c>
      <c r="G2431" s="3">
        <v>2016</v>
      </c>
      <c r="H2431" s="3" t="str">
        <f>CONCATENATE("64240349270")</f>
        <v>64240349270</v>
      </c>
      <c r="I2431" s="3" t="s">
        <v>25</v>
      </c>
      <c r="J2431" s="3" t="s">
        <v>26</v>
      </c>
      <c r="K2431" s="3" t="str">
        <f t="shared" si="74"/>
        <v/>
      </c>
      <c r="L2431" s="3" t="str">
        <f>CONCATENATE("11 11.2 4b")</f>
        <v>11 11.2 4b</v>
      </c>
      <c r="M2431" s="3" t="str">
        <f>CONCATENATE("SCCNDR74D28F205Y")</f>
        <v>SCCNDR74D28F205Y</v>
      </c>
      <c r="N2431" s="3" t="s">
        <v>2372</v>
      </c>
      <c r="O2431" s="3"/>
      <c r="P2431" s="4">
        <v>42783</v>
      </c>
      <c r="Q2431" s="3" t="s">
        <v>27</v>
      </c>
      <c r="R2431" s="3" t="s">
        <v>28</v>
      </c>
      <c r="S2431" s="3" t="s">
        <v>29</v>
      </c>
      <c r="T2431" s="5">
        <v>3240.82</v>
      </c>
      <c r="U2431" s="5">
        <v>1397.44</v>
      </c>
      <c r="V2431" s="5">
        <v>1290.49</v>
      </c>
      <c r="W2431" s="3">
        <v>552.89</v>
      </c>
    </row>
    <row r="2432" spans="1:23" ht="60.75">
      <c r="A2432" s="3" t="s">
        <v>23</v>
      </c>
      <c r="B2432" s="3" t="s">
        <v>24</v>
      </c>
      <c r="C2432" s="3" t="s">
        <v>35</v>
      </c>
      <c r="D2432" s="3" t="s">
        <v>39</v>
      </c>
      <c r="E2432" s="3" t="s">
        <v>32</v>
      </c>
      <c r="F2432" s="3" t="s">
        <v>69</v>
      </c>
      <c r="G2432" s="3">
        <v>2016</v>
      </c>
      <c r="H2432" s="3" t="str">
        <f>CONCATENATE("64240501557")</f>
        <v>64240501557</v>
      </c>
      <c r="I2432" s="3" t="s">
        <v>25</v>
      </c>
      <c r="J2432" s="3" t="s">
        <v>26</v>
      </c>
      <c r="K2432" s="3" t="str">
        <f t="shared" si="74"/>
        <v/>
      </c>
      <c r="L2432" s="3" t="str">
        <f>CONCATENATE("11 11.2 4b")</f>
        <v>11 11.2 4b</v>
      </c>
      <c r="M2432" s="3" t="str">
        <f>CONCATENATE("CCCDVD39H22A366S")</f>
        <v>CCCDVD39H22A366S</v>
      </c>
      <c r="N2432" s="3" t="s">
        <v>2373</v>
      </c>
      <c r="O2432" s="3"/>
      <c r="P2432" s="4">
        <v>42783</v>
      </c>
      <c r="Q2432" s="3" t="s">
        <v>27</v>
      </c>
      <c r="R2432" s="3" t="s">
        <v>28</v>
      </c>
      <c r="S2432" s="3" t="s">
        <v>29</v>
      </c>
      <c r="T2432" s="5">
        <v>1063.31</v>
      </c>
      <c r="U2432" s="3">
        <v>458.5</v>
      </c>
      <c r="V2432" s="3">
        <v>423.41</v>
      </c>
      <c r="W2432" s="3">
        <v>181.4</v>
      </c>
    </row>
    <row r="2433" spans="1:23" ht="60.75">
      <c r="A2433" s="3" t="s">
        <v>23</v>
      </c>
      <c r="B2433" s="3" t="s">
        <v>24</v>
      </c>
      <c r="C2433" s="3" t="s">
        <v>35</v>
      </c>
      <c r="D2433" s="3" t="s">
        <v>43</v>
      </c>
      <c r="E2433" s="3" t="s">
        <v>33</v>
      </c>
      <c r="F2433" s="3" t="s">
        <v>848</v>
      </c>
      <c r="G2433" s="3">
        <v>2016</v>
      </c>
      <c r="H2433" s="3" t="str">
        <f>CONCATENATE("64240750600")</f>
        <v>64240750600</v>
      </c>
      <c r="I2433" s="3" t="s">
        <v>25</v>
      </c>
      <c r="J2433" s="3" t="s">
        <v>26</v>
      </c>
      <c r="K2433" s="3" t="str">
        <f t="shared" si="74"/>
        <v/>
      </c>
      <c r="L2433" s="3" t="str">
        <f>CONCATENATE("11 11.1 4b")</f>
        <v>11 11.1 4b</v>
      </c>
      <c r="M2433" s="3" t="str">
        <f>CONCATENATE("CNCNDR90M21I459O")</f>
        <v>CNCNDR90M21I459O</v>
      </c>
      <c r="N2433" s="3" t="s">
        <v>1563</v>
      </c>
      <c r="O2433" s="3"/>
      <c r="P2433" s="4">
        <v>42783</v>
      </c>
      <c r="Q2433" s="3" t="s">
        <v>27</v>
      </c>
      <c r="R2433" s="3" t="s">
        <v>28</v>
      </c>
      <c r="S2433" s="3" t="s">
        <v>29</v>
      </c>
      <c r="T2433" s="5">
        <v>35551.519999999997</v>
      </c>
      <c r="U2433" s="5">
        <v>15329.82</v>
      </c>
      <c r="V2433" s="5">
        <v>14156.62</v>
      </c>
      <c r="W2433" s="5">
        <v>6065.08</v>
      </c>
    </row>
    <row r="2434" spans="1:23" ht="60.75">
      <c r="A2434" s="3" t="s">
        <v>23</v>
      </c>
      <c r="B2434" s="3" t="s">
        <v>24</v>
      </c>
      <c r="C2434" s="3" t="s">
        <v>35</v>
      </c>
      <c r="D2434" s="3" t="s">
        <v>39</v>
      </c>
      <c r="E2434" s="3" t="s">
        <v>30</v>
      </c>
      <c r="F2434" s="3" t="s">
        <v>285</v>
      </c>
      <c r="G2434" s="3">
        <v>2016</v>
      </c>
      <c r="H2434" s="3" t="str">
        <f>CONCATENATE("64240589347")</f>
        <v>64240589347</v>
      </c>
      <c r="I2434" s="3" t="s">
        <v>25</v>
      </c>
      <c r="J2434" s="3" t="s">
        <v>26</v>
      </c>
      <c r="K2434" s="3" t="str">
        <f t="shared" si="74"/>
        <v/>
      </c>
      <c r="L2434" s="3" t="str">
        <f>CONCATENATE("11 11.2 4b")</f>
        <v>11 11.2 4b</v>
      </c>
      <c r="M2434" s="3" t="str">
        <f>CONCATENATE("MNZFRC75P62I608R")</f>
        <v>MNZFRC75P62I608R</v>
      </c>
      <c r="N2434" s="3" t="s">
        <v>2374</v>
      </c>
      <c r="O2434" s="3"/>
      <c r="P2434" s="4">
        <v>42783</v>
      </c>
      <c r="Q2434" s="3" t="s">
        <v>27</v>
      </c>
      <c r="R2434" s="3" t="s">
        <v>28</v>
      </c>
      <c r="S2434" s="3" t="s">
        <v>29</v>
      </c>
      <c r="T2434" s="3">
        <v>513.09</v>
      </c>
      <c r="U2434" s="3">
        <v>221.24</v>
      </c>
      <c r="V2434" s="3">
        <v>204.31</v>
      </c>
      <c r="W2434" s="3">
        <v>87.54</v>
      </c>
    </row>
    <row r="2435" spans="1:23" ht="36.75">
      <c r="A2435" s="3" t="s">
        <v>23</v>
      </c>
      <c r="B2435" s="3" t="s">
        <v>24</v>
      </c>
      <c r="C2435" s="3" t="s">
        <v>35</v>
      </c>
      <c r="D2435" s="3" t="s">
        <v>48</v>
      </c>
      <c r="E2435" s="3" t="s">
        <v>49</v>
      </c>
      <c r="F2435" s="3" t="s">
        <v>50</v>
      </c>
      <c r="G2435" s="3">
        <v>2016</v>
      </c>
      <c r="H2435" s="3" t="str">
        <f>CONCATENATE("64240617304")</f>
        <v>64240617304</v>
      </c>
      <c r="I2435" s="3" t="s">
        <v>25</v>
      </c>
      <c r="J2435" s="3" t="s">
        <v>26</v>
      </c>
      <c r="K2435" s="3" t="str">
        <f t="shared" si="74"/>
        <v/>
      </c>
      <c r="L2435" s="3" t="str">
        <f>CONCATENATE("11 11.2 4b")</f>
        <v>11 11.2 4b</v>
      </c>
      <c r="M2435" s="3" t="str">
        <f>CONCATENATE("01331500437")</f>
        <v>01331500437</v>
      </c>
      <c r="N2435" s="3" t="s">
        <v>2375</v>
      </c>
      <c r="O2435" s="3"/>
      <c r="P2435" s="4">
        <v>42783</v>
      </c>
      <c r="Q2435" s="3" t="s">
        <v>27</v>
      </c>
      <c r="R2435" s="3" t="s">
        <v>28</v>
      </c>
      <c r="S2435" s="3" t="s">
        <v>29</v>
      </c>
      <c r="T2435" s="5">
        <v>2292.61</v>
      </c>
      <c r="U2435" s="3">
        <v>988.57</v>
      </c>
      <c r="V2435" s="3">
        <v>912.92</v>
      </c>
      <c r="W2435" s="3">
        <v>391.12</v>
      </c>
    </row>
    <row r="2436" spans="1:23" ht="36.75">
      <c r="A2436" s="3" t="s">
        <v>23</v>
      </c>
      <c r="B2436" s="3" t="s">
        <v>24</v>
      </c>
      <c r="C2436" s="3" t="s">
        <v>35</v>
      </c>
      <c r="D2436" s="3" t="s">
        <v>39</v>
      </c>
      <c r="E2436" s="3" t="s">
        <v>30</v>
      </c>
      <c r="F2436" s="3" t="s">
        <v>84</v>
      </c>
      <c r="G2436" s="3">
        <v>2016</v>
      </c>
      <c r="H2436" s="3" t="str">
        <f>CONCATENATE("64240167102")</f>
        <v>64240167102</v>
      </c>
      <c r="I2436" s="3" t="s">
        <v>25</v>
      </c>
      <c r="J2436" s="3" t="s">
        <v>26</v>
      </c>
      <c r="K2436" s="3" t="str">
        <f t="shared" si="74"/>
        <v/>
      </c>
      <c r="L2436" s="3" t="str">
        <f>CONCATENATE("11 11.2 4b")</f>
        <v>11 11.2 4b</v>
      </c>
      <c r="M2436" s="3" t="str">
        <f>CONCATENATE("02293460420")</f>
        <v>02293460420</v>
      </c>
      <c r="N2436" s="3" t="s">
        <v>2376</v>
      </c>
      <c r="O2436" s="3"/>
      <c r="P2436" s="4">
        <v>42783</v>
      </c>
      <c r="Q2436" s="3" t="s">
        <v>27</v>
      </c>
      <c r="R2436" s="3" t="s">
        <v>28</v>
      </c>
      <c r="S2436" s="3" t="s">
        <v>29</v>
      </c>
      <c r="T2436" s="5">
        <v>36621.230000000003</v>
      </c>
      <c r="U2436" s="5">
        <v>15791.07</v>
      </c>
      <c r="V2436" s="5">
        <v>14582.57</v>
      </c>
      <c r="W2436" s="5">
        <v>6247.59</v>
      </c>
    </row>
    <row r="2437" spans="1:23" ht="36.75">
      <c r="A2437" s="3" t="s">
        <v>23</v>
      </c>
      <c r="B2437" s="3" t="s">
        <v>24</v>
      </c>
      <c r="C2437" s="3" t="s">
        <v>35</v>
      </c>
      <c r="D2437" s="3" t="s">
        <v>48</v>
      </c>
      <c r="E2437" s="3" t="s">
        <v>49</v>
      </c>
      <c r="F2437" s="3" t="s">
        <v>50</v>
      </c>
      <c r="G2437" s="3">
        <v>2016</v>
      </c>
      <c r="H2437" s="3" t="str">
        <f>CONCATENATE("64210838906")</f>
        <v>64210838906</v>
      </c>
      <c r="I2437" s="3" t="s">
        <v>25</v>
      </c>
      <c r="J2437" s="3" t="s">
        <v>26</v>
      </c>
      <c r="K2437" s="3" t="str">
        <f t="shared" si="74"/>
        <v/>
      </c>
      <c r="L2437" s="3" t="str">
        <f>CONCATENATE("13 13.1 4a")</f>
        <v>13 13.1 4a</v>
      </c>
      <c r="M2437" s="3" t="str">
        <f>CONCATENATE("01331500437")</f>
        <v>01331500437</v>
      </c>
      <c r="N2437" s="3" t="s">
        <v>2375</v>
      </c>
      <c r="O2437" s="3"/>
      <c r="P2437" s="4">
        <v>42783</v>
      </c>
      <c r="Q2437" s="3" t="s">
        <v>27</v>
      </c>
      <c r="R2437" s="3" t="s">
        <v>28</v>
      </c>
      <c r="S2437" s="3" t="s">
        <v>29</v>
      </c>
      <c r="T2437" s="3">
        <v>782.85</v>
      </c>
      <c r="U2437" s="3">
        <v>337.56</v>
      </c>
      <c r="V2437" s="3">
        <v>311.73</v>
      </c>
      <c r="W2437" s="3">
        <v>133.56</v>
      </c>
    </row>
    <row r="2438" spans="1:23" ht="60.75">
      <c r="A2438" s="3" t="s">
        <v>23</v>
      </c>
      <c r="B2438" s="3" t="s">
        <v>24</v>
      </c>
      <c r="C2438" s="3" t="s">
        <v>35</v>
      </c>
      <c r="D2438" s="3" t="s">
        <v>36</v>
      </c>
      <c r="E2438" s="3" t="s">
        <v>30</v>
      </c>
      <c r="F2438" s="3" t="s">
        <v>86</v>
      </c>
      <c r="G2438" s="3">
        <v>2016</v>
      </c>
      <c r="H2438" s="3" t="str">
        <f>CONCATENATE("64240646980")</f>
        <v>64240646980</v>
      </c>
      <c r="I2438" s="3" t="s">
        <v>25</v>
      </c>
      <c r="J2438" s="3" t="s">
        <v>26</v>
      </c>
      <c r="K2438" s="3" t="str">
        <f t="shared" si="74"/>
        <v/>
      </c>
      <c r="L2438" s="3" t="str">
        <f>CONCATENATE("11 11.2 4b")</f>
        <v>11 11.2 4b</v>
      </c>
      <c r="M2438" s="3" t="str">
        <f>CONCATENATE("FRRPGR69A04A462J")</f>
        <v>FRRPGR69A04A462J</v>
      </c>
      <c r="N2438" s="3" t="s">
        <v>2377</v>
      </c>
      <c r="O2438" s="3"/>
      <c r="P2438" s="4">
        <v>42783</v>
      </c>
      <c r="Q2438" s="3" t="s">
        <v>27</v>
      </c>
      <c r="R2438" s="3" t="s">
        <v>28</v>
      </c>
      <c r="S2438" s="3" t="s">
        <v>29</v>
      </c>
      <c r="T2438" s="5">
        <v>4870.59</v>
      </c>
      <c r="U2438" s="5">
        <v>2100.1999999999998</v>
      </c>
      <c r="V2438" s="5">
        <v>1939.47</v>
      </c>
      <c r="W2438" s="3">
        <v>830.92</v>
      </c>
    </row>
    <row r="2439" spans="1:23" ht="60.75">
      <c r="A2439" s="3" t="s">
        <v>23</v>
      </c>
      <c r="B2439" s="3" t="s">
        <v>24</v>
      </c>
      <c r="C2439" s="3" t="s">
        <v>35</v>
      </c>
      <c r="D2439" s="3" t="s">
        <v>48</v>
      </c>
      <c r="E2439" s="3" t="s">
        <v>32</v>
      </c>
      <c r="F2439" s="3" t="s">
        <v>129</v>
      </c>
      <c r="G2439" s="3">
        <v>2016</v>
      </c>
      <c r="H2439" s="3" t="str">
        <f>CONCATENATE("64240275343")</f>
        <v>64240275343</v>
      </c>
      <c r="I2439" s="3" t="s">
        <v>25</v>
      </c>
      <c r="J2439" s="3" t="s">
        <v>26</v>
      </c>
      <c r="K2439" s="3" t="str">
        <f t="shared" si="74"/>
        <v/>
      </c>
      <c r="L2439" s="3" t="str">
        <f>CONCATENATE("11 11.2 4b")</f>
        <v>11 11.2 4b</v>
      </c>
      <c r="M2439" s="3" t="str">
        <f>CONCATENATE("VLTSFN79P16E514V")</f>
        <v>VLTSFN79P16E514V</v>
      </c>
      <c r="N2439" s="3" t="s">
        <v>2378</v>
      </c>
      <c r="O2439" s="3"/>
      <c r="P2439" s="4">
        <v>42783</v>
      </c>
      <c r="Q2439" s="3" t="s">
        <v>27</v>
      </c>
      <c r="R2439" s="3" t="s">
        <v>28</v>
      </c>
      <c r="S2439" s="3" t="s">
        <v>29</v>
      </c>
      <c r="T2439" s="5">
        <v>6496.26</v>
      </c>
      <c r="U2439" s="5">
        <v>2801.19</v>
      </c>
      <c r="V2439" s="5">
        <v>2586.81</v>
      </c>
      <c r="W2439" s="5">
        <v>1108.26</v>
      </c>
    </row>
    <row r="2440" spans="1:23" ht="60.75">
      <c r="A2440" s="3" t="s">
        <v>23</v>
      </c>
      <c r="B2440" s="3" t="s">
        <v>24</v>
      </c>
      <c r="C2440" s="3" t="s">
        <v>35</v>
      </c>
      <c r="D2440" s="3" t="s">
        <v>39</v>
      </c>
      <c r="E2440" s="3" t="s">
        <v>32</v>
      </c>
      <c r="F2440" s="3" t="s">
        <v>69</v>
      </c>
      <c r="G2440" s="3">
        <v>2016</v>
      </c>
      <c r="H2440" s="3" t="str">
        <f>CONCATENATE("64240510632")</f>
        <v>64240510632</v>
      </c>
      <c r="I2440" s="3" t="s">
        <v>25</v>
      </c>
      <c r="J2440" s="3" t="s">
        <v>26</v>
      </c>
      <c r="K2440" s="3" t="str">
        <f t="shared" si="74"/>
        <v/>
      </c>
      <c r="L2440" s="3" t="str">
        <f>CONCATENATE("11 11.2 4b")</f>
        <v>11 11.2 4b</v>
      </c>
      <c r="M2440" s="3" t="str">
        <f>CONCATENATE("LSSMPL61H69I653Z")</f>
        <v>LSSMPL61H69I653Z</v>
      </c>
      <c r="N2440" s="3" t="s">
        <v>2379</v>
      </c>
      <c r="O2440" s="3"/>
      <c r="P2440" s="4">
        <v>42783</v>
      </c>
      <c r="Q2440" s="3" t="s">
        <v>27</v>
      </c>
      <c r="R2440" s="3" t="s">
        <v>28</v>
      </c>
      <c r="S2440" s="3" t="s">
        <v>29</v>
      </c>
      <c r="T2440" s="5">
        <v>2919.43</v>
      </c>
      <c r="U2440" s="5">
        <v>1258.8599999999999</v>
      </c>
      <c r="V2440" s="5">
        <v>1162.52</v>
      </c>
      <c r="W2440" s="3">
        <v>498.05</v>
      </c>
    </row>
    <row r="2441" spans="1:23" ht="60.75">
      <c r="A2441" s="3" t="s">
        <v>23</v>
      </c>
      <c r="B2441" s="3" t="s">
        <v>24</v>
      </c>
      <c r="C2441" s="3" t="s">
        <v>35</v>
      </c>
      <c r="D2441" s="3" t="s">
        <v>39</v>
      </c>
      <c r="E2441" s="3" t="s">
        <v>30</v>
      </c>
      <c r="F2441" s="3" t="s">
        <v>285</v>
      </c>
      <c r="G2441" s="3">
        <v>2016</v>
      </c>
      <c r="H2441" s="3" t="str">
        <f>CONCATENATE("64240915674")</f>
        <v>64240915674</v>
      </c>
      <c r="I2441" s="3" t="s">
        <v>25</v>
      </c>
      <c r="J2441" s="3" t="s">
        <v>26</v>
      </c>
      <c r="K2441" s="3" t="str">
        <f t="shared" si="74"/>
        <v/>
      </c>
      <c r="L2441" s="3" t="str">
        <f>CONCATENATE("11 11.2 4b")</f>
        <v>11 11.2 4b</v>
      </c>
      <c r="M2441" s="3" t="str">
        <f>CONCATENATE("MNZMRZ42S06I608X")</f>
        <v>MNZMRZ42S06I608X</v>
      </c>
      <c r="N2441" s="3" t="s">
        <v>2380</v>
      </c>
      <c r="O2441" s="3"/>
      <c r="P2441" s="4">
        <v>42783</v>
      </c>
      <c r="Q2441" s="3" t="s">
        <v>27</v>
      </c>
      <c r="R2441" s="3" t="s">
        <v>28</v>
      </c>
      <c r="S2441" s="3" t="s">
        <v>29</v>
      </c>
      <c r="T2441" s="5">
        <v>5381.96</v>
      </c>
      <c r="U2441" s="5">
        <v>2320.6999999999998</v>
      </c>
      <c r="V2441" s="5">
        <v>2143.1</v>
      </c>
      <c r="W2441" s="3">
        <v>918.16</v>
      </c>
    </row>
    <row r="2442" spans="1:23" ht="72.75">
      <c r="A2442" s="3" t="s">
        <v>23</v>
      </c>
      <c r="B2442" s="3" t="s">
        <v>24</v>
      </c>
      <c r="C2442" s="3" t="s">
        <v>35</v>
      </c>
      <c r="D2442" s="3" t="s">
        <v>43</v>
      </c>
      <c r="E2442" s="3" t="s">
        <v>49</v>
      </c>
      <c r="F2442" s="3" t="s">
        <v>139</v>
      </c>
      <c r="G2442" s="3">
        <v>2016</v>
      </c>
      <c r="H2442" s="3" t="str">
        <f>CONCATENATE("64240552808")</f>
        <v>64240552808</v>
      </c>
      <c r="I2442" s="3" t="s">
        <v>25</v>
      </c>
      <c r="J2442" s="3" t="s">
        <v>26</v>
      </c>
      <c r="K2442" s="3" t="str">
        <f t="shared" si="74"/>
        <v/>
      </c>
      <c r="L2442" s="3" t="str">
        <f>CONCATENATE("11 11.2 4b")</f>
        <v>11 11.2 4b</v>
      </c>
      <c r="M2442" s="3" t="str">
        <f>CONCATENATE("BRSMNN82R51C357J")</f>
        <v>BRSMNN82R51C357J</v>
      </c>
      <c r="N2442" s="3" t="s">
        <v>2381</v>
      </c>
      <c r="O2442" s="3"/>
      <c r="P2442" s="4">
        <v>42783</v>
      </c>
      <c r="Q2442" s="3" t="s">
        <v>27</v>
      </c>
      <c r="R2442" s="3" t="s">
        <v>28</v>
      </c>
      <c r="S2442" s="3" t="s">
        <v>29</v>
      </c>
      <c r="T2442" s="5">
        <v>32904.46</v>
      </c>
      <c r="U2442" s="5">
        <v>14188.4</v>
      </c>
      <c r="V2442" s="5">
        <v>13102.56</v>
      </c>
      <c r="W2442" s="5">
        <v>5613.5</v>
      </c>
    </row>
    <row r="2443" spans="1:23" ht="60.75">
      <c r="A2443" s="3" t="s">
        <v>23</v>
      </c>
      <c r="B2443" s="3" t="s">
        <v>24</v>
      </c>
      <c r="C2443" s="3" t="s">
        <v>35</v>
      </c>
      <c r="D2443" s="3" t="s">
        <v>39</v>
      </c>
      <c r="E2443" s="3" t="s">
        <v>30</v>
      </c>
      <c r="F2443" s="3" t="s">
        <v>84</v>
      </c>
      <c r="G2443" s="3">
        <v>2016</v>
      </c>
      <c r="H2443" s="3" t="str">
        <f>CONCATENATE("64210983744")</f>
        <v>64210983744</v>
      </c>
      <c r="I2443" s="3" t="s">
        <v>25</v>
      </c>
      <c r="J2443" s="3" t="s">
        <v>26</v>
      </c>
      <c r="K2443" s="3" t="str">
        <f t="shared" si="74"/>
        <v/>
      </c>
      <c r="L2443" s="3" t="str">
        <f>CONCATENATE("13 13.1 4a")</f>
        <v>13 13.1 4a</v>
      </c>
      <c r="M2443" s="3" t="str">
        <f>CONCATENATE("TSSPTR56T19D451G")</f>
        <v>TSSPTR56T19D451G</v>
      </c>
      <c r="N2443" s="3" t="s">
        <v>2382</v>
      </c>
      <c r="O2443" s="3"/>
      <c r="P2443" s="4">
        <v>42783</v>
      </c>
      <c r="Q2443" s="3" t="s">
        <v>27</v>
      </c>
      <c r="R2443" s="3" t="s">
        <v>28</v>
      </c>
      <c r="S2443" s="3" t="s">
        <v>29</v>
      </c>
      <c r="T2443" s="3">
        <v>394.51</v>
      </c>
      <c r="U2443" s="3">
        <v>170.11</v>
      </c>
      <c r="V2443" s="3">
        <v>157.09</v>
      </c>
      <c r="W2443" s="3">
        <v>67.31</v>
      </c>
    </row>
    <row r="2444" spans="1:23" ht="36.75">
      <c r="A2444" s="3" t="s">
        <v>23</v>
      </c>
      <c r="B2444" s="3" t="s">
        <v>24</v>
      </c>
      <c r="C2444" s="3" t="s">
        <v>35</v>
      </c>
      <c r="D2444" s="3" t="s">
        <v>43</v>
      </c>
      <c r="E2444" s="3" t="s">
        <v>49</v>
      </c>
      <c r="F2444" s="3" t="s">
        <v>139</v>
      </c>
      <c r="G2444" s="3">
        <v>2016</v>
      </c>
      <c r="H2444" s="3" t="str">
        <f>CONCATENATE("64240352738")</f>
        <v>64240352738</v>
      </c>
      <c r="I2444" s="3" t="s">
        <v>25</v>
      </c>
      <c r="J2444" s="3" t="s">
        <v>26</v>
      </c>
      <c r="K2444" s="3" t="str">
        <f t="shared" si="74"/>
        <v/>
      </c>
      <c r="L2444" s="3" t="str">
        <f t="shared" ref="L2444:L2453" si="76">CONCATENATE("11 11.2 4b")</f>
        <v>11 11.2 4b</v>
      </c>
      <c r="M2444" s="3" t="str">
        <f>CONCATENATE("01364170413")</f>
        <v>01364170413</v>
      </c>
      <c r="N2444" s="3" t="s">
        <v>2383</v>
      </c>
      <c r="O2444" s="3"/>
      <c r="P2444" s="4">
        <v>42783</v>
      </c>
      <c r="Q2444" s="3" t="s">
        <v>27</v>
      </c>
      <c r="R2444" s="3" t="s">
        <v>28</v>
      </c>
      <c r="S2444" s="3" t="s">
        <v>29</v>
      </c>
      <c r="T2444" s="5">
        <v>25397.09</v>
      </c>
      <c r="U2444" s="5">
        <v>10951.23</v>
      </c>
      <c r="V2444" s="5">
        <v>10113.120000000001</v>
      </c>
      <c r="W2444" s="5">
        <v>4332.74</v>
      </c>
    </row>
    <row r="2445" spans="1:23" ht="60.75">
      <c r="A2445" s="3" t="s">
        <v>23</v>
      </c>
      <c r="B2445" s="3" t="s">
        <v>24</v>
      </c>
      <c r="C2445" s="3" t="s">
        <v>35</v>
      </c>
      <c r="D2445" s="3" t="s">
        <v>39</v>
      </c>
      <c r="E2445" s="3" t="s">
        <v>30</v>
      </c>
      <c r="F2445" s="3" t="s">
        <v>84</v>
      </c>
      <c r="G2445" s="3">
        <v>2016</v>
      </c>
      <c r="H2445" s="3" t="str">
        <f>CONCATENATE("64240245221")</f>
        <v>64240245221</v>
      </c>
      <c r="I2445" s="3" t="s">
        <v>25</v>
      </c>
      <c r="J2445" s="3" t="s">
        <v>26</v>
      </c>
      <c r="K2445" s="3" t="str">
        <f t="shared" si="74"/>
        <v/>
      </c>
      <c r="L2445" s="3" t="str">
        <f t="shared" si="76"/>
        <v>11 11.2 4b</v>
      </c>
      <c r="M2445" s="3" t="str">
        <f>CONCATENATE("HNDFNC59E20Z126K")</f>
        <v>HNDFNC59E20Z126K</v>
      </c>
      <c r="N2445" s="3" t="s">
        <v>2384</v>
      </c>
      <c r="O2445" s="3"/>
      <c r="P2445" s="4">
        <v>42783</v>
      </c>
      <c r="Q2445" s="3" t="s">
        <v>27</v>
      </c>
      <c r="R2445" s="3" t="s">
        <v>28</v>
      </c>
      <c r="S2445" s="3" t="s">
        <v>29</v>
      </c>
      <c r="T2445" s="5">
        <v>1461.08</v>
      </c>
      <c r="U2445" s="3">
        <v>630.02</v>
      </c>
      <c r="V2445" s="3">
        <v>581.79999999999995</v>
      </c>
      <c r="W2445" s="3">
        <v>249.26</v>
      </c>
    </row>
    <row r="2446" spans="1:23" ht="36.75">
      <c r="A2446" s="3" t="s">
        <v>23</v>
      </c>
      <c r="B2446" s="3" t="s">
        <v>24</v>
      </c>
      <c r="C2446" s="3" t="s">
        <v>35</v>
      </c>
      <c r="D2446" s="3" t="s">
        <v>43</v>
      </c>
      <c r="E2446" s="3" t="s">
        <v>49</v>
      </c>
      <c r="F2446" s="3" t="s">
        <v>139</v>
      </c>
      <c r="G2446" s="3">
        <v>2016</v>
      </c>
      <c r="H2446" s="3" t="str">
        <f>CONCATENATE("64240335774")</f>
        <v>64240335774</v>
      </c>
      <c r="I2446" s="3" t="s">
        <v>25</v>
      </c>
      <c r="J2446" s="3" t="s">
        <v>26</v>
      </c>
      <c r="K2446" s="3" t="str">
        <f t="shared" si="74"/>
        <v/>
      </c>
      <c r="L2446" s="3" t="str">
        <f t="shared" si="76"/>
        <v>11 11.2 4b</v>
      </c>
      <c r="M2446" s="3" t="str">
        <f>CONCATENATE("02437690411")</f>
        <v>02437690411</v>
      </c>
      <c r="N2446" s="3" t="s">
        <v>2385</v>
      </c>
      <c r="O2446" s="3"/>
      <c r="P2446" s="4">
        <v>42783</v>
      </c>
      <c r="Q2446" s="3" t="s">
        <v>27</v>
      </c>
      <c r="R2446" s="3" t="s">
        <v>28</v>
      </c>
      <c r="S2446" s="3" t="s">
        <v>29</v>
      </c>
      <c r="T2446" s="5">
        <v>8560.31</v>
      </c>
      <c r="U2446" s="5">
        <v>3691.21</v>
      </c>
      <c r="V2446" s="5">
        <v>3408.72</v>
      </c>
      <c r="W2446" s="5">
        <v>1460.38</v>
      </c>
    </row>
    <row r="2447" spans="1:23" ht="60.75">
      <c r="A2447" s="3" t="s">
        <v>23</v>
      </c>
      <c r="B2447" s="3" t="s">
        <v>24</v>
      </c>
      <c r="C2447" s="3" t="s">
        <v>35</v>
      </c>
      <c r="D2447" s="3" t="s">
        <v>48</v>
      </c>
      <c r="E2447" s="3" t="s">
        <v>30</v>
      </c>
      <c r="F2447" s="3" t="s">
        <v>57</v>
      </c>
      <c r="G2447" s="3">
        <v>2016</v>
      </c>
      <c r="H2447" s="3" t="str">
        <f>CONCATENATE("64240598900")</f>
        <v>64240598900</v>
      </c>
      <c r="I2447" s="3" t="s">
        <v>25</v>
      </c>
      <c r="J2447" s="3" t="s">
        <v>26</v>
      </c>
      <c r="K2447" s="3" t="str">
        <f t="shared" si="74"/>
        <v/>
      </c>
      <c r="L2447" s="3" t="str">
        <f t="shared" si="76"/>
        <v>11 11.2 4b</v>
      </c>
      <c r="M2447" s="3" t="str">
        <f>CONCATENATE("GMNLRT72P15L191L")</f>
        <v>GMNLRT72P15L191L</v>
      </c>
      <c r="N2447" s="3" t="s">
        <v>2386</v>
      </c>
      <c r="O2447" s="3"/>
      <c r="P2447" s="4">
        <v>42783</v>
      </c>
      <c r="Q2447" s="3" t="s">
        <v>27</v>
      </c>
      <c r="R2447" s="3" t="s">
        <v>28</v>
      </c>
      <c r="S2447" s="3" t="s">
        <v>29</v>
      </c>
      <c r="T2447" s="5">
        <v>2814.78</v>
      </c>
      <c r="U2447" s="5">
        <v>1213.73</v>
      </c>
      <c r="V2447" s="5">
        <v>1120.8499999999999</v>
      </c>
      <c r="W2447" s="3">
        <v>480.2</v>
      </c>
    </row>
    <row r="2448" spans="1:23" ht="36.75">
      <c r="A2448" s="3" t="s">
        <v>23</v>
      </c>
      <c r="B2448" s="3" t="s">
        <v>24</v>
      </c>
      <c r="C2448" s="3" t="s">
        <v>35</v>
      </c>
      <c r="D2448" s="3" t="s">
        <v>48</v>
      </c>
      <c r="E2448" s="3" t="s">
        <v>30</v>
      </c>
      <c r="F2448" s="3" t="s">
        <v>57</v>
      </c>
      <c r="G2448" s="3">
        <v>2016</v>
      </c>
      <c r="H2448" s="3" t="str">
        <f>CONCATENATE("64240459442")</f>
        <v>64240459442</v>
      </c>
      <c r="I2448" s="3" t="s">
        <v>25</v>
      </c>
      <c r="J2448" s="3" t="s">
        <v>26</v>
      </c>
      <c r="K2448" s="3" t="str">
        <f t="shared" si="74"/>
        <v/>
      </c>
      <c r="L2448" s="3" t="str">
        <f t="shared" si="76"/>
        <v>11 11.2 4b</v>
      </c>
      <c r="M2448" s="3" t="str">
        <f>CONCATENATE("01104210438")</f>
        <v>01104210438</v>
      </c>
      <c r="N2448" s="3" t="s">
        <v>2387</v>
      </c>
      <c r="O2448" s="3"/>
      <c r="P2448" s="4">
        <v>42783</v>
      </c>
      <c r="Q2448" s="3" t="s">
        <v>27</v>
      </c>
      <c r="R2448" s="3" t="s">
        <v>28</v>
      </c>
      <c r="S2448" s="3" t="s">
        <v>29</v>
      </c>
      <c r="T2448" s="5">
        <v>6855.17</v>
      </c>
      <c r="U2448" s="5">
        <v>2955.95</v>
      </c>
      <c r="V2448" s="5">
        <v>2729.73</v>
      </c>
      <c r="W2448" s="5">
        <v>1169.49</v>
      </c>
    </row>
    <row r="2449" spans="1:23" ht="36.75">
      <c r="A2449" s="3" t="s">
        <v>23</v>
      </c>
      <c r="B2449" s="3" t="s">
        <v>24</v>
      </c>
      <c r="C2449" s="3" t="s">
        <v>35</v>
      </c>
      <c r="D2449" s="3" t="s">
        <v>48</v>
      </c>
      <c r="E2449" s="3" t="s">
        <v>30</v>
      </c>
      <c r="F2449" s="3" t="s">
        <v>111</v>
      </c>
      <c r="G2449" s="3">
        <v>2016</v>
      </c>
      <c r="H2449" s="3" t="str">
        <f>CONCATENATE("64240682621")</f>
        <v>64240682621</v>
      </c>
      <c r="I2449" s="3" t="s">
        <v>25</v>
      </c>
      <c r="J2449" s="3" t="s">
        <v>26</v>
      </c>
      <c r="K2449" s="3" t="str">
        <f t="shared" si="74"/>
        <v/>
      </c>
      <c r="L2449" s="3" t="str">
        <f t="shared" si="76"/>
        <v>11 11.2 4b</v>
      </c>
      <c r="M2449" s="3" t="str">
        <f>CONCATENATE("00150060432")</f>
        <v>00150060432</v>
      </c>
      <c r="N2449" s="3" t="s">
        <v>2388</v>
      </c>
      <c r="O2449" s="3"/>
      <c r="P2449" s="4">
        <v>42783</v>
      </c>
      <c r="Q2449" s="3" t="s">
        <v>27</v>
      </c>
      <c r="R2449" s="3" t="s">
        <v>28</v>
      </c>
      <c r="S2449" s="3" t="s">
        <v>29</v>
      </c>
      <c r="T2449" s="5">
        <v>11820.36</v>
      </c>
      <c r="U2449" s="5">
        <v>5096.9399999999996</v>
      </c>
      <c r="V2449" s="5">
        <v>4706.87</v>
      </c>
      <c r="W2449" s="5">
        <v>2016.55</v>
      </c>
    </row>
    <row r="2450" spans="1:23" ht="60.75">
      <c r="A2450" s="3" t="s">
        <v>23</v>
      </c>
      <c r="B2450" s="3" t="s">
        <v>24</v>
      </c>
      <c r="C2450" s="3" t="s">
        <v>35</v>
      </c>
      <c r="D2450" s="3" t="s">
        <v>39</v>
      </c>
      <c r="E2450" s="3" t="s">
        <v>30</v>
      </c>
      <c r="F2450" s="3" t="s">
        <v>196</v>
      </c>
      <c r="G2450" s="3">
        <v>2016</v>
      </c>
      <c r="H2450" s="3" t="str">
        <f>CONCATENATE("64240705570")</f>
        <v>64240705570</v>
      </c>
      <c r="I2450" s="3" t="s">
        <v>25</v>
      </c>
      <c r="J2450" s="3" t="s">
        <v>26</v>
      </c>
      <c r="K2450" s="3" t="str">
        <f t="shared" ref="K2450:K2475" si="77">CONCATENATE("")</f>
        <v/>
      </c>
      <c r="L2450" s="3" t="str">
        <f t="shared" si="76"/>
        <v>11 11.2 4b</v>
      </c>
      <c r="M2450" s="3" t="str">
        <f>CONCATENATE("TGNGNN87C16E388I")</f>
        <v>TGNGNN87C16E388I</v>
      </c>
      <c r="N2450" s="3" t="s">
        <v>2389</v>
      </c>
      <c r="O2450" s="3"/>
      <c r="P2450" s="4">
        <v>42783</v>
      </c>
      <c r="Q2450" s="3" t="s">
        <v>27</v>
      </c>
      <c r="R2450" s="3" t="s">
        <v>28</v>
      </c>
      <c r="S2450" s="3" t="s">
        <v>29</v>
      </c>
      <c r="T2450" s="5">
        <v>1313.88</v>
      </c>
      <c r="U2450" s="3">
        <v>566.54999999999995</v>
      </c>
      <c r="V2450" s="3">
        <v>523.19000000000005</v>
      </c>
      <c r="W2450" s="3">
        <v>224.14</v>
      </c>
    </row>
    <row r="2451" spans="1:23" ht="36.75">
      <c r="A2451" s="3" t="s">
        <v>23</v>
      </c>
      <c r="B2451" s="3" t="s">
        <v>24</v>
      </c>
      <c r="C2451" s="3" t="s">
        <v>35</v>
      </c>
      <c r="D2451" s="3" t="s">
        <v>36</v>
      </c>
      <c r="E2451" s="3" t="s">
        <v>30</v>
      </c>
      <c r="F2451" s="3" t="s">
        <v>67</v>
      </c>
      <c r="G2451" s="3">
        <v>2016</v>
      </c>
      <c r="H2451" s="3" t="str">
        <f>CONCATENATE("64240398103")</f>
        <v>64240398103</v>
      </c>
      <c r="I2451" s="3" t="s">
        <v>25</v>
      </c>
      <c r="J2451" s="3" t="s">
        <v>26</v>
      </c>
      <c r="K2451" s="3" t="str">
        <f t="shared" si="77"/>
        <v/>
      </c>
      <c r="L2451" s="3" t="str">
        <f t="shared" si="76"/>
        <v>11 11.2 4b</v>
      </c>
      <c r="M2451" s="3" t="str">
        <f>CONCATENATE("01922700446")</f>
        <v>01922700446</v>
      </c>
      <c r="N2451" s="3" t="s">
        <v>2390</v>
      </c>
      <c r="O2451" s="3"/>
      <c r="P2451" s="4">
        <v>42783</v>
      </c>
      <c r="Q2451" s="3" t="s">
        <v>27</v>
      </c>
      <c r="R2451" s="3" t="s">
        <v>28</v>
      </c>
      <c r="S2451" s="3" t="s">
        <v>29</v>
      </c>
      <c r="T2451" s="5">
        <v>4068.44</v>
      </c>
      <c r="U2451" s="5">
        <v>1754.31</v>
      </c>
      <c r="V2451" s="5">
        <v>1620.05</v>
      </c>
      <c r="W2451" s="3">
        <v>694.08</v>
      </c>
    </row>
    <row r="2452" spans="1:23" ht="36.75">
      <c r="A2452" s="3" t="s">
        <v>23</v>
      </c>
      <c r="B2452" s="3" t="s">
        <v>24</v>
      </c>
      <c r="C2452" s="3" t="s">
        <v>35</v>
      </c>
      <c r="D2452" s="3" t="s">
        <v>48</v>
      </c>
      <c r="E2452" s="3" t="s">
        <v>30</v>
      </c>
      <c r="F2452" s="3" t="s">
        <v>91</v>
      </c>
      <c r="G2452" s="3">
        <v>2016</v>
      </c>
      <c r="H2452" s="3" t="str">
        <f>CONCATENATE("64240286712")</f>
        <v>64240286712</v>
      </c>
      <c r="I2452" s="3" t="s">
        <v>25</v>
      </c>
      <c r="J2452" s="3" t="s">
        <v>26</v>
      </c>
      <c r="K2452" s="3" t="str">
        <f t="shared" si="77"/>
        <v/>
      </c>
      <c r="L2452" s="3" t="str">
        <f t="shared" si="76"/>
        <v>11 11.2 4b</v>
      </c>
      <c r="M2452" s="3" t="str">
        <f>CONCATENATE("01141480432")</f>
        <v>01141480432</v>
      </c>
      <c r="N2452" s="3" t="s">
        <v>2391</v>
      </c>
      <c r="O2452" s="3"/>
      <c r="P2452" s="4">
        <v>42783</v>
      </c>
      <c r="Q2452" s="3" t="s">
        <v>27</v>
      </c>
      <c r="R2452" s="3" t="s">
        <v>28</v>
      </c>
      <c r="S2452" s="3" t="s">
        <v>29</v>
      </c>
      <c r="T2452" s="5">
        <v>7517.76</v>
      </c>
      <c r="U2452" s="5">
        <v>3241.66</v>
      </c>
      <c r="V2452" s="5">
        <v>2993.57</v>
      </c>
      <c r="W2452" s="5">
        <v>1282.53</v>
      </c>
    </row>
    <row r="2453" spans="1:23" ht="60.75">
      <c r="A2453" s="3" t="s">
        <v>23</v>
      </c>
      <c r="B2453" s="3" t="s">
        <v>24</v>
      </c>
      <c r="C2453" s="3" t="s">
        <v>35</v>
      </c>
      <c r="D2453" s="3" t="s">
        <v>36</v>
      </c>
      <c r="E2453" s="3" t="s">
        <v>30</v>
      </c>
      <c r="F2453" s="3" t="s">
        <v>257</v>
      </c>
      <c r="G2453" s="3">
        <v>2016</v>
      </c>
      <c r="H2453" s="3" t="str">
        <f>CONCATENATE("64240519286")</f>
        <v>64240519286</v>
      </c>
      <c r="I2453" s="3" t="s">
        <v>25</v>
      </c>
      <c r="J2453" s="3" t="s">
        <v>26</v>
      </c>
      <c r="K2453" s="3" t="str">
        <f t="shared" si="77"/>
        <v/>
      </c>
      <c r="L2453" s="3" t="str">
        <f t="shared" si="76"/>
        <v>11 11.2 4b</v>
      </c>
      <c r="M2453" s="3" t="str">
        <f>CONCATENATE("DLBDRA67H22F520S")</f>
        <v>DLBDRA67H22F520S</v>
      </c>
      <c r="N2453" s="3" t="s">
        <v>2392</v>
      </c>
      <c r="O2453" s="3"/>
      <c r="P2453" s="4">
        <v>42783</v>
      </c>
      <c r="Q2453" s="3" t="s">
        <v>27</v>
      </c>
      <c r="R2453" s="3" t="s">
        <v>28</v>
      </c>
      <c r="S2453" s="3" t="s">
        <v>29</v>
      </c>
      <c r="T2453" s="5">
        <v>5038.13</v>
      </c>
      <c r="U2453" s="5">
        <v>2172.44</v>
      </c>
      <c r="V2453" s="5">
        <v>2006.18</v>
      </c>
      <c r="W2453" s="3">
        <v>859.51</v>
      </c>
    </row>
    <row r="2454" spans="1:23" ht="36.75">
      <c r="A2454" s="3" t="s">
        <v>23</v>
      </c>
      <c r="B2454" s="3" t="s">
        <v>24</v>
      </c>
      <c r="C2454" s="3" t="s">
        <v>35</v>
      </c>
      <c r="D2454" s="3" t="s">
        <v>48</v>
      </c>
      <c r="E2454" s="3" t="s">
        <v>30</v>
      </c>
      <c r="F2454" s="3" t="s">
        <v>91</v>
      </c>
      <c r="G2454" s="3">
        <v>2016</v>
      </c>
      <c r="H2454" s="3" t="str">
        <f>CONCATENATE("64210532319")</f>
        <v>64210532319</v>
      </c>
      <c r="I2454" s="3" t="s">
        <v>25</v>
      </c>
      <c r="J2454" s="3" t="s">
        <v>26</v>
      </c>
      <c r="K2454" s="3" t="str">
        <f t="shared" si="77"/>
        <v/>
      </c>
      <c r="L2454" s="3" t="str">
        <f>CONCATENATE("13 13.1 4a")</f>
        <v>13 13.1 4a</v>
      </c>
      <c r="M2454" s="3" t="str">
        <f>CONCATENATE("01141480432")</f>
        <v>01141480432</v>
      </c>
      <c r="N2454" s="3" t="s">
        <v>2391</v>
      </c>
      <c r="O2454" s="3"/>
      <c r="P2454" s="4">
        <v>42783</v>
      </c>
      <c r="Q2454" s="3" t="s">
        <v>27</v>
      </c>
      <c r="R2454" s="3" t="s">
        <v>28</v>
      </c>
      <c r="S2454" s="3" t="s">
        <v>29</v>
      </c>
      <c r="T2454" s="5">
        <v>4590</v>
      </c>
      <c r="U2454" s="5">
        <v>1979.21</v>
      </c>
      <c r="V2454" s="5">
        <v>1827.74</v>
      </c>
      <c r="W2454" s="3">
        <v>783.05</v>
      </c>
    </row>
    <row r="2455" spans="1:23" ht="60.75">
      <c r="A2455" s="3" t="s">
        <v>23</v>
      </c>
      <c r="B2455" s="3" t="s">
        <v>24</v>
      </c>
      <c r="C2455" s="3" t="s">
        <v>35</v>
      </c>
      <c r="D2455" s="3" t="s">
        <v>43</v>
      </c>
      <c r="E2455" s="3" t="s">
        <v>32</v>
      </c>
      <c r="F2455" s="3" t="s">
        <v>78</v>
      </c>
      <c r="G2455" s="3">
        <v>2016</v>
      </c>
      <c r="H2455" s="3" t="str">
        <f>CONCATENATE("64240330999")</f>
        <v>64240330999</v>
      </c>
      <c r="I2455" s="3" t="s">
        <v>25</v>
      </c>
      <c r="J2455" s="3" t="s">
        <v>26</v>
      </c>
      <c r="K2455" s="3" t="str">
        <f t="shared" si="77"/>
        <v/>
      </c>
      <c r="L2455" s="3" t="str">
        <f>CONCATENATE("11 11.2 4b")</f>
        <v>11 11.2 4b</v>
      </c>
      <c r="M2455" s="3" t="str">
        <f>CONCATENATE("DMPVLR84B26L500Z")</f>
        <v>DMPVLR84B26L500Z</v>
      </c>
      <c r="N2455" s="3" t="s">
        <v>2393</v>
      </c>
      <c r="O2455" s="3"/>
      <c r="P2455" s="4">
        <v>42783</v>
      </c>
      <c r="Q2455" s="3" t="s">
        <v>27</v>
      </c>
      <c r="R2455" s="3" t="s">
        <v>28</v>
      </c>
      <c r="S2455" s="3" t="s">
        <v>29</v>
      </c>
      <c r="T2455" s="5">
        <v>9387.42</v>
      </c>
      <c r="U2455" s="5">
        <v>4047.86</v>
      </c>
      <c r="V2455" s="5">
        <v>3738.07</v>
      </c>
      <c r="W2455" s="5">
        <v>1601.49</v>
      </c>
    </row>
    <row r="2456" spans="1:23" ht="36.75">
      <c r="A2456" s="3" t="s">
        <v>23</v>
      </c>
      <c r="B2456" s="3" t="s">
        <v>24</v>
      </c>
      <c r="C2456" s="3" t="s">
        <v>35</v>
      </c>
      <c r="D2456" s="3" t="s">
        <v>43</v>
      </c>
      <c r="E2456" s="3" t="s">
        <v>32</v>
      </c>
      <c r="F2456" s="3" t="s">
        <v>44</v>
      </c>
      <c r="G2456" s="3">
        <v>2016</v>
      </c>
      <c r="H2456" s="3" t="str">
        <f>CONCATENATE("64210804148")</f>
        <v>64210804148</v>
      </c>
      <c r="I2456" s="3" t="s">
        <v>25</v>
      </c>
      <c r="J2456" s="3" t="s">
        <v>26</v>
      </c>
      <c r="K2456" s="3" t="str">
        <f t="shared" si="77"/>
        <v/>
      </c>
      <c r="L2456" s="3" t="str">
        <f>CONCATENATE("13 13.1 4a")</f>
        <v>13 13.1 4a</v>
      </c>
      <c r="M2456" s="3" t="str">
        <f>CONCATENATE("01392530414")</f>
        <v>01392530414</v>
      </c>
      <c r="N2456" s="3" t="s">
        <v>2394</v>
      </c>
      <c r="O2456" s="3"/>
      <c r="P2456" s="4">
        <v>42783</v>
      </c>
      <c r="Q2456" s="3" t="s">
        <v>27</v>
      </c>
      <c r="R2456" s="3" t="s">
        <v>28</v>
      </c>
      <c r="S2456" s="3" t="s">
        <v>29</v>
      </c>
      <c r="T2456" s="5">
        <v>3663.61</v>
      </c>
      <c r="U2456" s="5">
        <v>1579.75</v>
      </c>
      <c r="V2456" s="5">
        <v>1458.85</v>
      </c>
      <c r="W2456" s="3">
        <v>625.01</v>
      </c>
    </row>
    <row r="2457" spans="1:23" ht="60.75">
      <c r="A2457" s="3" t="s">
        <v>23</v>
      </c>
      <c r="B2457" s="3" t="s">
        <v>24</v>
      </c>
      <c r="C2457" s="3" t="s">
        <v>35</v>
      </c>
      <c r="D2457" s="3" t="s">
        <v>48</v>
      </c>
      <c r="E2457" s="3" t="s">
        <v>30</v>
      </c>
      <c r="F2457" s="3" t="s">
        <v>157</v>
      </c>
      <c r="G2457" s="3">
        <v>2016</v>
      </c>
      <c r="H2457" s="3" t="str">
        <f>CONCATENATE("64240397949")</f>
        <v>64240397949</v>
      </c>
      <c r="I2457" s="3" t="s">
        <v>25</v>
      </c>
      <c r="J2457" s="3" t="s">
        <v>26</v>
      </c>
      <c r="K2457" s="3" t="str">
        <f t="shared" si="77"/>
        <v/>
      </c>
      <c r="L2457" s="3" t="str">
        <f>CONCATENATE("11 11.2 4b")</f>
        <v>11 11.2 4b</v>
      </c>
      <c r="M2457" s="3" t="str">
        <f>CONCATENATE("CSRFTN46C01F509S")</f>
        <v>CSRFTN46C01F509S</v>
      </c>
      <c r="N2457" s="3" t="s">
        <v>2395</v>
      </c>
      <c r="O2457" s="3"/>
      <c r="P2457" s="4">
        <v>42783</v>
      </c>
      <c r="Q2457" s="3" t="s">
        <v>27</v>
      </c>
      <c r="R2457" s="3" t="s">
        <v>28</v>
      </c>
      <c r="S2457" s="3" t="s">
        <v>29</v>
      </c>
      <c r="T2457" s="5">
        <v>2795.36</v>
      </c>
      <c r="U2457" s="5">
        <v>1205.3599999999999</v>
      </c>
      <c r="V2457" s="5">
        <v>1113.1099999999999</v>
      </c>
      <c r="W2457" s="3">
        <v>476.89</v>
      </c>
    </row>
    <row r="2458" spans="1:23" ht="60.75">
      <c r="A2458" s="3" t="s">
        <v>23</v>
      </c>
      <c r="B2458" s="3" t="s">
        <v>24</v>
      </c>
      <c r="C2458" s="3" t="s">
        <v>35</v>
      </c>
      <c r="D2458" s="3" t="s">
        <v>48</v>
      </c>
      <c r="E2458" s="3" t="s">
        <v>30</v>
      </c>
      <c r="F2458" s="3" t="s">
        <v>157</v>
      </c>
      <c r="G2458" s="3">
        <v>2016</v>
      </c>
      <c r="H2458" s="3" t="str">
        <f>CONCATENATE("64210425217")</f>
        <v>64210425217</v>
      </c>
      <c r="I2458" s="3" t="s">
        <v>25</v>
      </c>
      <c r="J2458" s="3" t="s">
        <v>26</v>
      </c>
      <c r="K2458" s="3" t="str">
        <f t="shared" si="77"/>
        <v/>
      </c>
      <c r="L2458" s="3" t="str">
        <f>CONCATENATE("13 13.1 4a")</f>
        <v>13 13.1 4a</v>
      </c>
      <c r="M2458" s="3" t="str">
        <f>CONCATENATE("CSRFTN46C01F509S")</f>
        <v>CSRFTN46C01F509S</v>
      </c>
      <c r="N2458" s="3" t="s">
        <v>2395</v>
      </c>
      <c r="O2458" s="3"/>
      <c r="P2458" s="4">
        <v>42783</v>
      </c>
      <c r="Q2458" s="3" t="s">
        <v>27</v>
      </c>
      <c r="R2458" s="3" t="s">
        <v>28</v>
      </c>
      <c r="S2458" s="3" t="s">
        <v>29</v>
      </c>
      <c r="T2458" s="5">
        <v>5400</v>
      </c>
      <c r="U2458" s="5">
        <v>2328.48</v>
      </c>
      <c r="V2458" s="5">
        <v>2150.2800000000002</v>
      </c>
      <c r="W2458" s="3">
        <v>921.24</v>
      </c>
    </row>
    <row r="2459" spans="1:23" ht="36.75">
      <c r="A2459" s="3" t="s">
        <v>23</v>
      </c>
      <c r="B2459" s="3" t="s">
        <v>24</v>
      </c>
      <c r="C2459" s="3" t="s">
        <v>35</v>
      </c>
      <c r="D2459" s="3" t="s">
        <v>36</v>
      </c>
      <c r="E2459" s="3" t="s">
        <v>30</v>
      </c>
      <c r="F2459" s="3" t="s">
        <v>257</v>
      </c>
      <c r="G2459" s="3">
        <v>2016</v>
      </c>
      <c r="H2459" s="3" t="str">
        <f>CONCATENATE("64240638672")</f>
        <v>64240638672</v>
      </c>
      <c r="I2459" s="3" t="s">
        <v>25</v>
      </c>
      <c r="J2459" s="3" t="s">
        <v>26</v>
      </c>
      <c r="K2459" s="3" t="str">
        <f t="shared" si="77"/>
        <v/>
      </c>
      <c r="L2459" s="3" t="str">
        <f>CONCATENATE("11 11.2 4b")</f>
        <v>11 11.2 4b</v>
      </c>
      <c r="M2459" s="3" t="str">
        <f>CONCATENATE("02058790441")</f>
        <v>02058790441</v>
      </c>
      <c r="N2459" s="3" t="s">
        <v>2396</v>
      </c>
      <c r="O2459" s="3"/>
      <c r="P2459" s="4">
        <v>42783</v>
      </c>
      <c r="Q2459" s="3" t="s">
        <v>27</v>
      </c>
      <c r="R2459" s="3" t="s">
        <v>28</v>
      </c>
      <c r="S2459" s="3" t="s">
        <v>29</v>
      </c>
      <c r="T2459" s="3">
        <v>618.25</v>
      </c>
      <c r="U2459" s="3">
        <v>266.58999999999997</v>
      </c>
      <c r="V2459" s="3">
        <v>246.19</v>
      </c>
      <c r="W2459" s="3">
        <v>105.47</v>
      </c>
    </row>
    <row r="2460" spans="1:23" ht="60.75">
      <c r="A2460" s="3" t="s">
        <v>23</v>
      </c>
      <c r="B2460" s="3" t="s">
        <v>24</v>
      </c>
      <c r="C2460" s="3" t="s">
        <v>35</v>
      </c>
      <c r="D2460" s="3" t="s">
        <v>36</v>
      </c>
      <c r="E2460" s="3" t="s">
        <v>42</v>
      </c>
      <c r="F2460" s="3" t="s">
        <v>42</v>
      </c>
      <c r="G2460" s="3">
        <v>2016</v>
      </c>
      <c r="H2460" s="3" t="str">
        <f>CONCATENATE("64240097143")</f>
        <v>64240097143</v>
      </c>
      <c r="I2460" s="3" t="s">
        <v>25</v>
      </c>
      <c r="J2460" s="3" t="s">
        <v>26</v>
      </c>
      <c r="K2460" s="3" t="str">
        <f t="shared" si="77"/>
        <v/>
      </c>
      <c r="L2460" s="3" t="str">
        <f>CONCATENATE("11 11.2 4b")</f>
        <v>11 11.2 4b</v>
      </c>
      <c r="M2460" s="3" t="str">
        <f>CONCATENATE("DNGPFR65E02G005E")</f>
        <v>DNGPFR65E02G005E</v>
      </c>
      <c r="N2460" s="3" t="s">
        <v>2397</v>
      </c>
      <c r="O2460" s="3"/>
      <c r="P2460" s="4">
        <v>42783</v>
      </c>
      <c r="Q2460" s="3" t="s">
        <v>27</v>
      </c>
      <c r="R2460" s="3" t="s">
        <v>28</v>
      </c>
      <c r="S2460" s="3" t="s">
        <v>29</v>
      </c>
      <c r="T2460" s="5">
        <v>3665.81</v>
      </c>
      <c r="U2460" s="5">
        <v>1580.7</v>
      </c>
      <c r="V2460" s="5">
        <v>1459.73</v>
      </c>
      <c r="W2460" s="3">
        <v>625.38</v>
      </c>
    </row>
    <row r="2461" spans="1:23" ht="60.75">
      <c r="A2461" s="3" t="s">
        <v>23</v>
      </c>
      <c r="B2461" s="3" t="s">
        <v>24</v>
      </c>
      <c r="C2461" s="3" t="s">
        <v>35</v>
      </c>
      <c r="D2461" s="3" t="s">
        <v>36</v>
      </c>
      <c r="E2461" s="3" t="s">
        <v>42</v>
      </c>
      <c r="F2461" s="3" t="s">
        <v>42</v>
      </c>
      <c r="G2461" s="3">
        <v>2016</v>
      </c>
      <c r="H2461" s="3" t="str">
        <f>CONCATENATE("64240819157")</f>
        <v>64240819157</v>
      </c>
      <c r="I2461" s="3" t="s">
        <v>25</v>
      </c>
      <c r="J2461" s="3" t="s">
        <v>26</v>
      </c>
      <c r="K2461" s="3" t="str">
        <f t="shared" si="77"/>
        <v/>
      </c>
      <c r="L2461" s="3" t="str">
        <f>CONCATENATE("10 10.1 4b")</f>
        <v>10 10.1 4b</v>
      </c>
      <c r="M2461" s="3" t="str">
        <f>CONCATENATE("CCRBRN50B09H321J")</f>
        <v>CCRBRN50B09H321J</v>
      </c>
      <c r="N2461" s="3" t="s">
        <v>2398</v>
      </c>
      <c r="O2461" s="3"/>
      <c r="P2461" s="4">
        <v>42783</v>
      </c>
      <c r="Q2461" s="3" t="s">
        <v>27</v>
      </c>
      <c r="R2461" s="3" t="s">
        <v>28</v>
      </c>
      <c r="S2461" s="3" t="s">
        <v>29</v>
      </c>
      <c r="T2461" s="5">
        <v>3855.13</v>
      </c>
      <c r="U2461" s="5">
        <v>1662.33</v>
      </c>
      <c r="V2461" s="5">
        <v>1535.11</v>
      </c>
      <c r="W2461" s="3">
        <v>657.69</v>
      </c>
    </row>
    <row r="2462" spans="1:23" ht="60.75">
      <c r="A2462" s="3" t="s">
        <v>23</v>
      </c>
      <c r="B2462" s="3" t="s">
        <v>24</v>
      </c>
      <c r="C2462" s="3" t="s">
        <v>35</v>
      </c>
      <c r="D2462" s="3" t="s">
        <v>39</v>
      </c>
      <c r="E2462" s="3" t="s">
        <v>30</v>
      </c>
      <c r="F2462" s="3" t="s">
        <v>533</v>
      </c>
      <c r="G2462" s="3">
        <v>2016</v>
      </c>
      <c r="H2462" s="3" t="str">
        <f>CONCATENATE("64240412979")</f>
        <v>64240412979</v>
      </c>
      <c r="I2462" s="3" t="s">
        <v>25</v>
      </c>
      <c r="J2462" s="3" t="s">
        <v>26</v>
      </c>
      <c r="K2462" s="3" t="str">
        <f t="shared" si="77"/>
        <v/>
      </c>
      <c r="L2462" s="3" t="str">
        <f>CONCATENATE("11 11.1 4b")</f>
        <v>11 11.1 4b</v>
      </c>
      <c r="M2462" s="3" t="str">
        <f>CONCATENATE("LSTNNL62A01I461R")</f>
        <v>LSTNNL62A01I461R</v>
      </c>
      <c r="N2462" s="3" t="s">
        <v>2399</v>
      </c>
      <c r="O2462" s="3"/>
      <c r="P2462" s="4">
        <v>42783</v>
      </c>
      <c r="Q2462" s="3" t="s">
        <v>27</v>
      </c>
      <c r="R2462" s="3" t="s">
        <v>28</v>
      </c>
      <c r="S2462" s="3" t="s">
        <v>29</v>
      </c>
      <c r="T2462" s="5">
        <v>7911.71</v>
      </c>
      <c r="U2462" s="5">
        <v>3411.53</v>
      </c>
      <c r="V2462" s="5">
        <v>3150.44</v>
      </c>
      <c r="W2462" s="5">
        <v>1349.74</v>
      </c>
    </row>
    <row r="2463" spans="1:23" ht="60.75">
      <c r="A2463" s="3" t="s">
        <v>23</v>
      </c>
      <c r="B2463" s="3" t="s">
        <v>24</v>
      </c>
      <c r="C2463" s="3" t="s">
        <v>35</v>
      </c>
      <c r="D2463" s="3" t="s">
        <v>43</v>
      </c>
      <c r="E2463" s="3" t="s">
        <v>30</v>
      </c>
      <c r="F2463" s="3" t="s">
        <v>113</v>
      </c>
      <c r="G2463" s="3">
        <v>2016</v>
      </c>
      <c r="H2463" s="3" t="str">
        <f>CONCATENATE("64240794459")</f>
        <v>64240794459</v>
      </c>
      <c r="I2463" s="3" t="s">
        <v>25</v>
      </c>
      <c r="J2463" s="3" t="s">
        <v>26</v>
      </c>
      <c r="K2463" s="3" t="str">
        <f t="shared" si="77"/>
        <v/>
      </c>
      <c r="L2463" s="3" t="str">
        <f>CONCATENATE("11 11.2 4b")</f>
        <v>11 11.2 4b</v>
      </c>
      <c r="M2463" s="3" t="str">
        <f>CONCATENATE("NRDCRL65D10L498M")</f>
        <v>NRDCRL65D10L498M</v>
      </c>
      <c r="N2463" s="3" t="s">
        <v>2400</v>
      </c>
      <c r="O2463" s="3"/>
      <c r="P2463" s="4">
        <v>42783</v>
      </c>
      <c r="Q2463" s="3" t="s">
        <v>27</v>
      </c>
      <c r="R2463" s="3" t="s">
        <v>28</v>
      </c>
      <c r="S2463" s="3" t="s">
        <v>29</v>
      </c>
      <c r="T2463" s="5">
        <v>1380.62</v>
      </c>
      <c r="U2463" s="3">
        <v>595.32000000000005</v>
      </c>
      <c r="V2463" s="3">
        <v>549.76</v>
      </c>
      <c r="W2463" s="3">
        <v>235.54</v>
      </c>
    </row>
    <row r="2464" spans="1:23" ht="60.75">
      <c r="A2464" s="3" t="s">
        <v>23</v>
      </c>
      <c r="B2464" s="3" t="s">
        <v>24</v>
      </c>
      <c r="C2464" s="3" t="s">
        <v>35</v>
      </c>
      <c r="D2464" s="3" t="s">
        <v>43</v>
      </c>
      <c r="E2464" s="3" t="s">
        <v>30</v>
      </c>
      <c r="F2464" s="3" t="s">
        <v>131</v>
      </c>
      <c r="G2464" s="3">
        <v>2016</v>
      </c>
      <c r="H2464" s="3" t="str">
        <f>CONCATENATE("64240411088")</f>
        <v>64240411088</v>
      </c>
      <c r="I2464" s="3" t="s">
        <v>25</v>
      </c>
      <c r="J2464" s="3" t="s">
        <v>26</v>
      </c>
      <c r="K2464" s="3" t="str">
        <f t="shared" si="77"/>
        <v/>
      </c>
      <c r="L2464" s="3" t="str">
        <f>CONCATENATE("11 11.1 4b")</f>
        <v>11 11.1 4b</v>
      </c>
      <c r="M2464" s="3" t="str">
        <f>CONCATENATE("PRCDRA70P12D749D")</f>
        <v>PRCDRA70P12D749D</v>
      </c>
      <c r="N2464" s="3" t="s">
        <v>2401</v>
      </c>
      <c r="O2464" s="3"/>
      <c r="P2464" s="4">
        <v>42783</v>
      </c>
      <c r="Q2464" s="3" t="s">
        <v>27</v>
      </c>
      <c r="R2464" s="3" t="s">
        <v>28</v>
      </c>
      <c r="S2464" s="3" t="s">
        <v>29</v>
      </c>
      <c r="T2464" s="5">
        <v>1818.84</v>
      </c>
      <c r="U2464" s="3">
        <v>784.28</v>
      </c>
      <c r="V2464" s="3">
        <v>724.26</v>
      </c>
      <c r="W2464" s="3">
        <v>310.3</v>
      </c>
    </row>
    <row r="2465" spans="1:23" ht="36.75">
      <c r="A2465" s="3" t="s">
        <v>23</v>
      </c>
      <c r="B2465" s="3" t="s">
        <v>24</v>
      </c>
      <c r="C2465" s="3" t="s">
        <v>35</v>
      </c>
      <c r="D2465" s="3" t="s">
        <v>43</v>
      </c>
      <c r="E2465" s="3" t="s">
        <v>34</v>
      </c>
      <c r="F2465" s="3" t="s">
        <v>146</v>
      </c>
      <c r="G2465" s="3">
        <v>2016</v>
      </c>
      <c r="H2465" s="3" t="str">
        <f>CONCATENATE("64240333746")</f>
        <v>64240333746</v>
      </c>
      <c r="I2465" s="3" t="s">
        <v>25</v>
      </c>
      <c r="J2465" s="3" t="s">
        <v>26</v>
      </c>
      <c r="K2465" s="3" t="str">
        <f t="shared" si="77"/>
        <v/>
      </c>
      <c r="L2465" s="3" t="str">
        <f>CONCATENATE("11 11.1 4b")</f>
        <v>11 11.1 4b</v>
      </c>
      <c r="M2465" s="3" t="str">
        <f>CONCATENATE("00809730419")</f>
        <v>00809730419</v>
      </c>
      <c r="N2465" s="3" t="s">
        <v>2402</v>
      </c>
      <c r="O2465" s="3"/>
      <c r="P2465" s="4">
        <v>42783</v>
      </c>
      <c r="Q2465" s="3" t="s">
        <v>27</v>
      </c>
      <c r="R2465" s="3" t="s">
        <v>28</v>
      </c>
      <c r="S2465" s="3" t="s">
        <v>29</v>
      </c>
      <c r="T2465" s="5">
        <v>6027.08</v>
      </c>
      <c r="U2465" s="5">
        <v>2598.88</v>
      </c>
      <c r="V2465" s="5">
        <v>2399.98</v>
      </c>
      <c r="W2465" s="5">
        <v>1028.22</v>
      </c>
    </row>
    <row r="2466" spans="1:23" ht="72.75">
      <c r="A2466" s="3" t="s">
        <v>23</v>
      </c>
      <c r="B2466" s="3" t="s">
        <v>24</v>
      </c>
      <c r="C2466" s="3" t="s">
        <v>35</v>
      </c>
      <c r="D2466" s="3" t="s">
        <v>39</v>
      </c>
      <c r="E2466" s="3" t="s">
        <v>32</v>
      </c>
      <c r="F2466" s="3" t="s">
        <v>117</v>
      </c>
      <c r="G2466" s="3">
        <v>2016</v>
      </c>
      <c r="H2466" s="3" t="str">
        <f>CONCATENATE("64240485058")</f>
        <v>64240485058</v>
      </c>
      <c r="I2466" s="3" t="s">
        <v>25</v>
      </c>
      <c r="J2466" s="3" t="s">
        <v>26</v>
      </c>
      <c r="K2466" s="3" t="str">
        <f t="shared" si="77"/>
        <v/>
      </c>
      <c r="L2466" s="3" t="str">
        <f>CONCATENATE("11 11.2 4b")</f>
        <v>11 11.2 4b</v>
      </c>
      <c r="M2466" s="3" t="str">
        <f>CONCATENATE("MGNFRN44L06I008A")</f>
        <v>MGNFRN44L06I008A</v>
      </c>
      <c r="N2466" s="3" t="s">
        <v>2403</v>
      </c>
      <c r="O2466" s="3"/>
      <c r="P2466" s="4">
        <v>42783</v>
      </c>
      <c r="Q2466" s="3" t="s">
        <v>27</v>
      </c>
      <c r="R2466" s="3" t="s">
        <v>28</v>
      </c>
      <c r="S2466" s="3" t="s">
        <v>29</v>
      </c>
      <c r="T2466" s="3">
        <v>231.55</v>
      </c>
      <c r="U2466" s="3">
        <v>99.84</v>
      </c>
      <c r="V2466" s="3">
        <v>92.2</v>
      </c>
      <c r="W2466" s="3">
        <v>39.51</v>
      </c>
    </row>
    <row r="2467" spans="1:23" ht="72.75">
      <c r="A2467" s="3" t="s">
        <v>23</v>
      </c>
      <c r="B2467" s="3" t="s">
        <v>24</v>
      </c>
      <c r="C2467" s="3" t="s">
        <v>35</v>
      </c>
      <c r="D2467" s="3" t="s">
        <v>39</v>
      </c>
      <c r="E2467" s="3" t="s">
        <v>30</v>
      </c>
      <c r="F2467" s="3" t="s">
        <v>84</v>
      </c>
      <c r="G2467" s="3">
        <v>2016</v>
      </c>
      <c r="H2467" s="3" t="str">
        <f>CONCATENATE("64210531279")</f>
        <v>64210531279</v>
      </c>
      <c r="I2467" s="3" t="s">
        <v>25</v>
      </c>
      <c r="J2467" s="3" t="s">
        <v>26</v>
      </c>
      <c r="K2467" s="3" t="str">
        <f t="shared" si="77"/>
        <v/>
      </c>
      <c r="L2467" s="3" t="str">
        <f>CONCATENATE("13 13.1 4a")</f>
        <v>13 13.1 4a</v>
      </c>
      <c r="M2467" s="3" t="str">
        <f>CONCATENATE("MRNLSE48C66D965M")</f>
        <v>MRNLSE48C66D965M</v>
      </c>
      <c r="N2467" s="3" t="s">
        <v>2404</v>
      </c>
      <c r="O2467" s="3"/>
      <c r="P2467" s="4">
        <v>42783</v>
      </c>
      <c r="Q2467" s="3" t="s">
        <v>27</v>
      </c>
      <c r="R2467" s="3" t="s">
        <v>28</v>
      </c>
      <c r="S2467" s="3" t="s">
        <v>29</v>
      </c>
      <c r="T2467" s="5">
        <v>1299.8800000000001</v>
      </c>
      <c r="U2467" s="3">
        <v>560.51</v>
      </c>
      <c r="V2467" s="3">
        <v>517.61</v>
      </c>
      <c r="W2467" s="3">
        <v>221.76</v>
      </c>
    </row>
    <row r="2468" spans="1:23" ht="60.75">
      <c r="A2468" s="3" t="s">
        <v>23</v>
      </c>
      <c r="B2468" s="3" t="s">
        <v>24</v>
      </c>
      <c r="C2468" s="3" t="s">
        <v>35</v>
      </c>
      <c r="D2468" s="3" t="s">
        <v>36</v>
      </c>
      <c r="E2468" s="3" t="s">
        <v>33</v>
      </c>
      <c r="F2468" s="3" t="s">
        <v>192</v>
      </c>
      <c r="G2468" s="3">
        <v>2016</v>
      </c>
      <c r="H2468" s="3" t="str">
        <f>CONCATENATE("64240301362")</f>
        <v>64240301362</v>
      </c>
      <c r="I2468" s="3" t="s">
        <v>25</v>
      </c>
      <c r="J2468" s="3" t="s">
        <v>26</v>
      </c>
      <c r="K2468" s="3" t="str">
        <f t="shared" si="77"/>
        <v/>
      </c>
      <c r="L2468" s="3" t="str">
        <f>CONCATENATE("11 11.2 4b")</f>
        <v>11 11.2 4b</v>
      </c>
      <c r="M2468" s="3" t="str">
        <f>CONCATENATE("FRNFNC59L19F415X")</f>
        <v>FRNFNC59L19F415X</v>
      </c>
      <c r="N2468" s="3" t="s">
        <v>2405</v>
      </c>
      <c r="O2468" s="3"/>
      <c r="P2468" s="4">
        <v>42783</v>
      </c>
      <c r="Q2468" s="3" t="s">
        <v>27</v>
      </c>
      <c r="R2468" s="3" t="s">
        <v>28</v>
      </c>
      <c r="S2468" s="3" t="s">
        <v>29</v>
      </c>
      <c r="T2468" s="5">
        <v>4271.1400000000003</v>
      </c>
      <c r="U2468" s="5">
        <v>1841.72</v>
      </c>
      <c r="V2468" s="5">
        <v>1700.77</v>
      </c>
      <c r="W2468" s="3">
        <v>728.65</v>
      </c>
    </row>
    <row r="2469" spans="1:23" ht="60.75">
      <c r="A2469" s="3" t="s">
        <v>23</v>
      </c>
      <c r="B2469" s="3" t="s">
        <v>24</v>
      </c>
      <c r="C2469" s="3" t="s">
        <v>35</v>
      </c>
      <c r="D2469" s="3" t="s">
        <v>48</v>
      </c>
      <c r="E2469" s="3" t="s">
        <v>30</v>
      </c>
      <c r="F2469" s="3" t="s">
        <v>91</v>
      </c>
      <c r="G2469" s="3">
        <v>2016</v>
      </c>
      <c r="H2469" s="3" t="str">
        <f>CONCATENATE("64210511628")</f>
        <v>64210511628</v>
      </c>
      <c r="I2469" s="3" t="s">
        <v>25</v>
      </c>
      <c r="J2469" s="3" t="s">
        <v>26</v>
      </c>
      <c r="K2469" s="3" t="str">
        <f t="shared" si="77"/>
        <v/>
      </c>
      <c r="L2469" s="3" t="str">
        <f>CONCATENATE("13 13.1 4a")</f>
        <v>13 13.1 4a</v>
      </c>
      <c r="M2469" s="3" t="str">
        <f>CONCATENATE("CCCGRL61M27I661P")</f>
        <v>CCCGRL61M27I661P</v>
      </c>
      <c r="N2469" s="3" t="s">
        <v>2406</v>
      </c>
      <c r="O2469" s="3"/>
      <c r="P2469" s="4">
        <v>42783</v>
      </c>
      <c r="Q2469" s="3" t="s">
        <v>27</v>
      </c>
      <c r="R2469" s="3" t="s">
        <v>28</v>
      </c>
      <c r="S2469" s="3" t="s">
        <v>29</v>
      </c>
      <c r="T2469" s="5">
        <v>3431.03</v>
      </c>
      <c r="U2469" s="5">
        <v>1479.46</v>
      </c>
      <c r="V2469" s="5">
        <v>1366.24</v>
      </c>
      <c r="W2469" s="3">
        <v>585.33000000000004</v>
      </c>
    </row>
    <row r="2470" spans="1:23" ht="36.75">
      <c r="A2470" s="3" t="s">
        <v>23</v>
      </c>
      <c r="B2470" s="3" t="s">
        <v>24</v>
      </c>
      <c r="C2470" s="3" t="s">
        <v>35</v>
      </c>
      <c r="D2470" s="3" t="s">
        <v>43</v>
      </c>
      <c r="E2470" s="3" t="s">
        <v>49</v>
      </c>
      <c r="F2470" s="3" t="s">
        <v>276</v>
      </c>
      <c r="G2470" s="3">
        <v>2016</v>
      </c>
      <c r="H2470" s="3" t="str">
        <f>CONCATENATE("64240378642")</f>
        <v>64240378642</v>
      </c>
      <c r="I2470" s="3" t="s">
        <v>25</v>
      </c>
      <c r="J2470" s="3" t="s">
        <v>26</v>
      </c>
      <c r="K2470" s="3" t="str">
        <f t="shared" si="77"/>
        <v/>
      </c>
      <c r="L2470" s="3" t="str">
        <f>CONCATENATE("11 11.2 4b")</f>
        <v>11 11.2 4b</v>
      </c>
      <c r="M2470" s="3" t="str">
        <f>CONCATENATE("02449950415")</f>
        <v>02449950415</v>
      </c>
      <c r="N2470" s="3" t="s">
        <v>2407</v>
      </c>
      <c r="O2470" s="3"/>
      <c r="P2470" s="4">
        <v>42783</v>
      </c>
      <c r="Q2470" s="3" t="s">
        <v>27</v>
      </c>
      <c r="R2470" s="3" t="s">
        <v>28</v>
      </c>
      <c r="S2470" s="3" t="s">
        <v>29</v>
      </c>
      <c r="T2470" s="5">
        <v>1563.3</v>
      </c>
      <c r="U2470" s="3">
        <v>674.09</v>
      </c>
      <c r="V2470" s="3">
        <v>622.51</v>
      </c>
      <c r="W2470" s="3">
        <v>266.7</v>
      </c>
    </row>
    <row r="2471" spans="1:23" ht="60.75">
      <c r="A2471" s="3" t="s">
        <v>23</v>
      </c>
      <c r="B2471" s="3" t="s">
        <v>24</v>
      </c>
      <c r="C2471" s="3" t="s">
        <v>35</v>
      </c>
      <c r="D2471" s="3" t="s">
        <v>48</v>
      </c>
      <c r="E2471" s="3" t="s">
        <v>32</v>
      </c>
      <c r="F2471" s="3" t="s">
        <v>129</v>
      </c>
      <c r="G2471" s="3">
        <v>2016</v>
      </c>
      <c r="H2471" s="3" t="str">
        <f>CONCATENATE("64240656351")</f>
        <v>64240656351</v>
      </c>
      <c r="I2471" s="3" t="s">
        <v>25</v>
      </c>
      <c r="J2471" s="3" t="s">
        <v>26</v>
      </c>
      <c r="K2471" s="3" t="str">
        <f t="shared" si="77"/>
        <v/>
      </c>
      <c r="L2471" s="3" t="str">
        <f>CONCATENATE("11 11.2 4b")</f>
        <v>11 11.2 4b</v>
      </c>
      <c r="M2471" s="3" t="str">
        <f>CONCATENATE("LNZRCR47H28I726T")</f>
        <v>LNZRCR47H28I726T</v>
      </c>
      <c r="N2471" s="3" t="s">
        <v>2408</v>
      </c>
      <c r="O2471" s="3"/>
      <c r="P2471" s="4">
        <v>42783</v>
      </c>
      <c r="Q2471" s="3" t="s">
        <v>27</v>
      </c>
      <c r="R2471" s="3" t="s">
        <v>28</v>
      </c>
      <c r="S2471" s="3" t="s">
        <v>29</v>
      </c>
      <c r="T2471" s="5">
        <v>1858.3</v>
      </c>
      <c r="U2471" s="3">
        <v>801.3</v>
      </c>
      <c r="V2471" s="3">
        <v>739.98</v>
      </c>
      <c r="W2471" s="3">
        <v>317.02</v>
      </c>
    </row>
    <row r="2472" spans="1:23" ht="60.75">
      <c r="A2472" s="3" t="s">
        <v>23</v>
      </c>
      <c r="B2472" s="3" t="s">
        <v>24</v>
      </c>
      <c r="C2472" s="3" t="s">
        <v>35</v>
      </c>
      <c r="D2472" s="3" t="s">
        <v>43</v>
      </c>
      <c r="E2472" s="3" t="s">
        <v>49</v>
      </c>
      <c r="F2472" s="3" t="s">
        <v>139</v>
      </c>
      <c r="G2472" s="3">
        <v>2016</v>
      </c>
      <c r="H2472" s="3" t="str">
        <f>CONCATENATE("64240576310")</f>
        <v>64240576310</v>
      </c>
      <c r="I2472" s="3" t="s">
        <v>25</v>
      </c>
      <c r="J2472" s="3" t="s">
        <v>26</v>
      </c>
      <c r="K2472" s="3" t="str">
        <f t="shared" si="77"/>
        <v/>
      </c>
      <c r="L2472" s="3" t="str">
        <f>CONCATENATE("11 11.2 4b")</f>
        <v>11 11.2 4b</v>
      </c>
      <c r="M2472" s="3" t="str">
        <f>CONCATENATE("RVSLCU74A30A794I")</f>
        <v>RVSLCU74A30A794I</v>
      </c>
      <c r="N2472" s="3" t="s">
        <v>2409</v>
      </c>
      <c r="O2472" s="3"/>
      <c r="P2472" s="4">
        <v>42783</v>
      </c>
      <c r="Q2472" s="3" t="s">
        <v>27</v>
      </c>
      <c r="R2472" s="3" t="s">
        <v>28</v>
      </c>
      <c r="S2472" s="3" t="s">
        <v>29</v>
      </c>
      <c r="T2472" s="5">
        <v>15261.85</v>
      </c>
      <c r="U2472" s="5">
        <v>6580.91</v>
      </c>
      <c r="V2472" s="5">
        <v>6077.27</v>
      </c>
      <c r="W2472" s="5">
        <v>2603.67</v>
      </c>
    </row>
    <row r="2473" spans="1:23" ht="60.75">
      <c r="A2473" s="3" t="s">
        <v>23</v>
      </c>
      <c r="B2473" s="3" t="s">
        <v>24</v>
      </c>
      <c r="C2473" s="3" t="s">
        <v>35</v>
      </c>
      <c r="D2473" s="3" t="s">
        <v>36</v>
      </c>
      <c r="E2473" s="3" t="s">
        <v>32</v>
      </c>
      <c r="F2473" s="3" t="s">
        <v>208</v>
      </c>
      <c r="G2473" s="3">
        <v>2016</v>
      </c>
      <c r="H2473" s="3" t="str">
        <f>CONCATENATE("64240674354")</f>
        <v>64240674354</v>
      </c>
      <c r="I2473" s="3" t="s">
        <v>25</v>
      </c>
      <c r="J2473" s="3" t="s">
        <v>26</v>
      </c>
      <c r="K2473" s="3" t="str">
        <f t="shared" si="77"/>
        <v/>
      </c>
      <c r="L2473" s="3" t="str">
        <f>CONCATENATE("11 11.2 4b")</f>
        <v>11 11.2 4b</v>
      </c>
      <c r="M2473" s="3" t="str">
        <f>CONCATENATE("NTLFNC93P66D542N")</f>
        <v>NTLFNC93P66D542N</v>
      </c>
      <c r="N2473" s="3" t="s">
        <v>2410</v>
      </c>
      <c r="O2473" s="3"/>
      <c r="P2473" s="4">
        <v>42783</v>
      </c>
      <c r="Q2473" s="3" t="s">
        <v>27</v>
      </c>
      <c r="R2473" s="3" t="s">
        <v>28</v>
      </c>
      <c r="S2473" s="3" t="s">
        <v>29</v>
      </c>
      <c r="T2473" s="5">
        <v>4394.7700000000004</v>
      </c>
      <c r="U2473" s="5">
        <v>1895.02</v>
      </c>
      <c r="V2473" s="5">
        <v>1750</v>
      </c>
      <c r="W2473" s="3">
        <v>749.75</v>
      </c>
    </row>
    <row r="2474" spans="1:23" ht="60.75">
      <c r="A2474" s="3" t="s">
        <v>23</v>
      </c>
      <c r="B2474" s="3" t="s">
        <v>24</v>
      </c>
      <c r="C2474" s="3" t="s">
        <v>35</v>
      </c>
      <c r="D2474" s="3" t="s">
        <v>36</v>
      </c>
      <c r="E2474" s="3" t="s">
        <v>33</v>
      </c>
      <c r="F2474" s="3" t="s">
        <v>89</v>
      </c>
      <c r="G2474" s="3">
        <v>2016</v>
      </c>
      <c r="H2474" s="3" t="str">
        <f>CONCATENATE("64210880239")</f>
        <v>64210880239</v>
      </c>
      <c r="I2474" s="3" t="s">
        <v>25</v>
      </c>
      <c r="J2474" s="3" t="s">
        <v>26</v>
      </c>
      <c r="K2474" s="3" t="str">
        <f t="shared" si="77"/>
        <v/>
      </c>
      <c r="L2474" s="3" t="str">
        <f>CONCATENATE("13 13.1 4a")</f>
        <v>13 13.1 4a</v>
      </c>
      <c r="M2474" s="3" t="str">
        <f>CONCATENATE("PSCFLC52T60F570V")</f>
        <v>PSCFLC52T60F570V</v>
      </c>
      <c r="N2474" s="3" t="s">
        <v>2411</v>
      </c>
      <c r="O2474" s="3"/>
      <c r="P2474" s="4">
        <v>42783</v>
      </c>
      <c r="Q2474" s="3" t="s">
        <v>27</v>
      </c>
      <c r="R2474" s="3" t="s">
        <v>28</v>
      </c>
      <c r="S2474" s="3" t="s">
        <v>29</v>
      </c>
      <c r="T2474" s="5">
        <v>1460.82</v>
      </c>
      <c r="U2474" s="3">
        <v>629.91</v>
      </c>
      <c r="V2474" s="3">
        <v>581.70000000000005</v>
      </c>
      <c r="W2474" s="3">
        <v>249.21</v>
      </c>
    </row>
    <row r="2475" spans="1:23" ht="48.75">
      <c r="A2475" s="3" t="s">
        <v>23</v>
      </c>
      <c r="B2475" s="3" t="s">
        <v>24</v>
      </c>
      <c r="C2475" s="3" t="s">
        <v>35</v>
      </c>
      <c r="D2475" s="3" t="s">
        <v>43</v>
      </c>
      <c r="E2475" s="3" t="s">
        <v>33</v>
      </c>
      <c r="F2475" s="3" t="s">
        <v>848</v>
      </c>
      <c r="G2475" s="3">
        <v>2016</v>
      </c>
      <c r="H2475" s="3" t="str">
        <f>CONCATENATE("64240649414")</f>
        <v>64240649414</v>
      </c>
      <c r="I2475" s="3" t="s">
        <v>25</v>
      </c>
      <c r="J2475" s="3" t="s">
        <v>26</v>
      </c>
      <c r="K2475" s="3" t="str">
        <f t="shared" si="77"/>
        <v/>
      </c>
      <c r="L2475" s="3" t="str">
        <f>CONCATENATE("11 11.2 4b")</f>
        <v>11 11.2 4b</v>
      </c>
      <c r="M2475" s="3" t="str">
        <f>CONCATENATE("JNSSTP79E17Z105C")</f>
        <v>JNSSTP79E17Z105C</v>
      </c>
      <c r="N2475" s="3" t="s">
        <v>2412</v>
      </c>
      <c r="O2475" s="3"/>
      <c r="P2475" s="4">
        <v>42783</v>
      </c>
      <c r="Q2475" s="3" t="s">
        <v>27</v>
      </c>
      <c r="R2475" s="3" t="s">
        <v>28</v>
      </c>
      <c r="S2475" s="3" t="s">
        <v>29</v>
      </c>
      <c r="T2475" s="5">
        <v>5937.49</v>
      </c>
      <c r="U2475" s="5">
        <v>2560.25</v>
      </c>
      <c r="V2475" s="5">
        <v>2364.31</v>
      </c>
      <c r="W2475" s="5">
        <v>1012.93</v>
      </c>
    </row>
  </sheetData>
  <autoFilter ref="A1:W2475"/>
  <sortState ref="A2:W12776">
    <sortCondition ref="C2:C1277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lmaccioni</dc:creator>
  <cp:lastModifiedBy>lmaccioni</cp:lastModifiedBy>
  <dcterms:created xsi:type="dcterms:W3CDTF">2017-02-23T13:58:50Z</dcterms:created>
  <dcterms:modified xsi:type="dcterms:W3CDTF">2017-02-23T14:05:52Z</dcterms:modified>
</cp:coreProperties>
</file>