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76" i="1" l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<sst xmlns="http://schemas.openxmlformats.org/spreadsheetml/2006/main" count="973" uniqueCount="153">
  <si>
    <t>Dettaglio Domande Pagabili Decreto 32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</si>
  <si>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</si>
  <si>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</si>
  <si>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</si>
  <si>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</si>
  <si>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</si>
  <si>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</si>
  <si>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</si>
  <si>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</si>
  <si>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</si>
  <si>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</si>
  <si>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</si>
  <si>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</si>
  <si>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</si>
  <si>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</si>
  <si>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</si>
  <si>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</si>
  <si>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</si>
  <si>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</si>
  <si>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</si>
  <si>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</si>
  <si>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</si>
  <si>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</si>
  <si>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</si>
  <si>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AGEA</t>
  </si>
  <si>
    <t>Misure a Superficie</t>
  </si>
  <si>
    <t>CAA CIA srl</t>
  </si>
  <si>
    <t>NO</t>
  </si>
  <si>
    <t>Trascinamenti</t>
  </si>
  <si>
    <t>In Liquidazione</t>
  </si>
  <si>
    <t>Saldo</t>
  </si>
  <si>
    <t>Co-Finanziato</t>
  </si>
  <si>
    <t>CAA Coldiretti srl</t>
  </si>
  <si>
    <t>SI</t>
  </si>
  <si>
    <t>CAA LiberiAgricoltori srl già CAA AGCI srl</t>
  </si>
  <si>
    <t>CAA Confagricoltura srl</t>
  </si>
  <si>
    <t>Misure Strutturali</t>
  </si>
  <si>
    <t>CAA UNICAA srl</t>
  </si>
  <si>
    <t>CAA Copagri srl</t>
  </si>
  <si>
    <t>IN PROPRIO</t>
  </si>
  <si>
    <t>SAL</t>
  </si>
  <si>
    <t>MARCHE</t>
  </si>
  <si>
    <t>SERV. DEC. AGRICOLTURA E ALIMENTAZIONE - PESARO</t>
  </si>
  <si>
    <t>CAA Coldiretti - PESARO E URBINO - 010</t>
  </si>
  <si>
    <t>VENTURI ANTONIO</t>
  </si>
  <si>
    <t>AGEA.ASR.2015.0219005</t>
  </si>
  <si>
    <t>SERV. DEC. AGRICOLTURA E ALIMENTAZIONE - ANCONA</t>
  </si>
  <si>
    <t>CAA Coldiretti - ANCONA - 002</t>
  </si>
  <si>
    <t>MARINELLI PIETRO</t>
  </si>
  <si>
    <t>AGEA.ASR.2016.0586061</t>
  </si>
  <si>
    <t>SERVIZIO DECENTRATO AGRICOLTURA E ALIM. - MACERATA</t>
  </si>
  <si>
    <t>CAA Coldiretti - MACERATA - 017</t>
  </si>
  <si>
    <t>COPPONI LORENZO</t>
  </si>
  <si>
    <t>AGEA.ASR.2014.0719149</t>
  </si>
  <si>
    <t>CAA LiberiAgricoltori - PESARO E URBINO - 001</t>
  </si>
  <si>
    <t>ABR SOCIETA' AGRICOLA A R.L.</t>
  </si>
  <si>
    <t>AGEA.ASR.2015.0698770</t>
  </si>
  <si>
    <t>CAA CIA - ANCONA - 005</t>
  </si>
  <si>
    <t>COSTANTINI LUIGINO</t>
  </si>
  <si>
    <t>AGEA.ASR.2016.0562967</t>
  </si>
  <si>
    <t>CAA Coldiretti - ANCONA - 003</t>
  </si>
  <si>
    <t>BONCI SERENELLA</t>
  </si>
  <si>
    <t>SERV. DEC. AGRICOLTURA E ALIM. -ASCOLI PICENO</t>
  </si>
  <si>
    <t>TRAINI BRUNO</t>
  </si>
  <si>
    <t>AGEA.ASR.2016.0563063</t>
  </si>
  <si>
    <t>CAA Coldiretti - MACERATA - 010</t>
  </si>
  <si>
    <t>QUATTRINI ARMANDO</t>
  </si>
  <si>
    <t>CAA Coldiretti - ANCONA - 005</t>
  </si>
  <si>
    <t>MANCINI EGIDIO</t>
  </si>
  <si>
    <t>SEBASTIANELLI GILBERTO</t>
  </si>
  <si>
    <t>CAA UNICAA - ANCONA - 003</t>
  </si>
  <si>
    <t>EREDI DI PANDOLFI DOMENICO</t>
  </si>
  <si>
    <t>CAA Coldiretti - MACERATA - 007</t>
  </si>
  <si>
    <t>COMPAGNUCCI EMILIANO</t>
  </si>
  <si>
    <t>AGEA.ASR.2016.0267419</t>
  </si>
  <si>
    <t>GENTILI SABATINO</t>
  </si>
  <si>
    <t>AGRICOLA TELLUS</t>
  </si>
  <si>
    <t>AGEA.ASR.2015.1215725</t>
  </si>
  <si>
    <t>BECCERICA ENRICO</t>
  </si>
  <si>
    <t>AGEA.ASR.2015.0999543</t>
  </si>
  <si>
    <t>CAA CIA - PESARO E URBINO - 002</t>
  </si>
  <si>
    <t>FADDA MICHELE &amp; GIULIANO SOC.SEMPLICE</t>
  </si>
  <si>
    <t>AGEA.ASR.2015.0996513</t>
  </si>
  <si>
    <t>CAA CIA - PESARO E URBINO - 005</t>
  </si>
  <si>
    <t>MASCI JESSICA</t>
  </si>
  <si>
    <t>AGEA.ASR.2015.0802011</t>
  </si>
  <si>
    <t>PARIS MARCO</t>
  </si>
  <si>
    <t>CAA Coldiretti - MACERATA - 008</t>
  </si>
  <si>
    <t>CONFORTI NOVELLO</t>
  </si>
  <si>
    <t>CAA Coldiretti - PESARO E URBINO - 006</t>
  </si>
  <si>
    <t>DECORTES LUIGI</t>
  </si>
  <si>
    <t>AGEA.ASR.2016.0574869</t>
  </si>
  <si>
    <t>AGEA.ASR.2014.0735487</t>
  </si>
  <si>
    <t>AGEA.ASR.2015.0802149</t>
  </si>
  <si>
    <t>CAA CIA - MACERATA - 001</t>
  </si>
  <si>
    <t>FORTI SIMONE</t>
  </si>
  <si>
    <t>AGEA.ASR.2016.0088954</t>
  </si>
  <si>
    <t>CAA LiberiAgricoltori - MACERATA - 001</t>
  </si>
  <si>
    <t>BALZI CLAUDIO</t>
  </si>
  <si>
    <t>LATTANZIO ADVISORY S.P.A.</t>
  </si>
  <si>
    <t>AGEA.ASR.2016.0573563</t>
  </si>
  <si>
    <t>CAA Coldiretti - ASCOLI PICENO - 040</t>
  </si>
  <si>
    <t>VAGNONI GIUSEPPE</t>
  </si>
  <si>
    <t>AZIENDA AGRICOLA PIERUCCI DENIS E MASSIMO SOC.SEMPLICE AGRICOLA</t>
  </si>
  <si>
    <t>CAA Copagri - FERMO - 502</t>
  </si>
  <si>
    <t>CAPANNELLI GIAMBATTISTA</t>
  </si>
  <si>
    <t>AZIENDA AGRARIA MONACHESI CESARE E FRANCESCO SOCIETA' SEMPLICE SOCIETA</t>
  </si>
  <si>
    <t>AGEA.ASR.2015.1202029</t>
  </si>
  <si>
    <t>MURA SALVATORE</t>
  </si>
  <si>
    <t>RIVELLI MARIO</t>
  </si>
  <si>
    <t>CAA Copagri - PESARO E URBINO - 501</t>
  </si>
  <si>
    <t>TONI TIZIANA</t>
  </si>
  <si>
    <t>CAA Confagricoltura - ASCOLI PICENO - 001</t>
  </si>
  <si>
    <t>CINAGLIA LUIGI</t>
  </si>
  <si>
    <t>CAA Coldiretti - ANCONA - 006</t>
  </si>
  <si>
    <t>MATTIOLI GIORDANO</t>
  </si>
  <si>
    <t>ORTENZI FRANCESCO</t>
  </si>
  <si>
    <t>AGEA.ASR.2015.0143274</t>
  </si>
  <si>
    <t>SERVIZI DAVIDE</t>
  </si>
  <si>
    <t>LIGI ANGELO</t>
  </si>
  <si>
    <t>FEDERAZIONE PROVINCIALE COLDIRETTI MACERATA</t>
  </si>
  <si>
    <t>AGEA.ASR.2016.0595073</t>
  </si>
  <si>
    <t>CAA CIA - ANCONA - 001</t>
  </si>
  <si>
    <t>LASCALA ANNA RITA</t>
  </si>
  <si>
    <t>BIAGGI MAURIZIO</t>
  </si>
  <si>
    <t>AGEA.ASR.2015.1286958</t>
  </si>
  <si>
    <t>CAA Coldiretti - FERMO - 001</t>
  </si>
  <si>
    <t>IEZZI CARLO</t>
  </si>
  <si>
    <t>CAA UNICAA - MACERATA - 002</t>
  </si>
  <si>
    <t>CLEMENTI PIERLUIGI</t>
  </si>
  <si>
    <t>AGEA.ASR.2016.0155438</t>
  </si>
  <si>
    <t>SILLA MARIA LUISA</t>
  </si>
  <si>
    <t>AGEA.ASR.2016.0586508</t>
  </si>
  <si>
    <t>CAA Copagri - ANCONA - 506</t>
  </si>
  <si>
    <t>MANCINI VILBERTO</t>
  </si>
  <si>
    <t>TINTI MARCELLO</t>
  </si>
  <si>
    <t>SCHWAGER HERBERT MATTHIAS</t>
  </si>
  <si>
    <t>POLINI VINCENZO</t>
  </si>
  <si>
    <t>AZ. AGR. CICARILLI FRANCO &amp; C.</t>
  </si>
  <si>
    <t>AGEA.ASR.2016.0322901</t>
  </si>
  <si>
    <t>SCORTICHINI ALBERTO</t>
  </si>
  <si>
    <t>CAA CIA - PESARO E URBINO - 008</t>
  </si>
  <si>
    <t>AMBROSIO ARCANGELO</t>
  </si>
  <si>
    <t>AGEA.ASR.2016.0565142</t>
  </si>
  <si>
    <t>SPADONI ANTONIO</t>
  </si>
  <si>
    <t>PIETRINI GRAZIANO</t>
  </si>
  <si>
    <t>AGEA.ASR.2015.0182690</t>
  </si>
  <si>
    <t>RIETI RENATO</t>
  </si>
  <si>
    <t>AGEA.ASR.2016.0454846</t>
  </si>
  <si>
    <t>PONTANI GIULIANO</t>
  </si>
  <si>
    <t>TACCONI VENANZO</t>
  </si>
  <si>
    <t>NICOLELLI DANILO</t>
  </si>
  <si>
    <t>LUCARELLI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</si>
</sst>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tabSelected="1" workbookViewId="0">
      <selection activeCell="E84" sqref="E84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5703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9.85546875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16384" width="9.140625" style="4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</row>
    <row r="4" spans="1:23" ht="24.75" x14ac:dyDescent="0.25">
      <c r="A4" s="6" t="s">
        <v>24</v>
      </c>
      <c r="B4" s="6" t="s">
        <v>25</v>
      </c>
      <c r="C4" s="6" t="s">
        <v>41</v>
      </c>
      <c r="D4" s="6" t="s">
        <v>42</v>
      </c>
      <c r="E4" s="6" t="s">
        <v>32</v>
      </c>
      <c r="F4" s="6" t="s">
        <v>43</v>
      </c>
      <c r="G4" s="6">
        <v>2014</v>
      </c>
      <c r="H4" s="6" t="str">
        <f>CONCATENATE("44715811566")</f>
        <v>44715811566</v>
      </c>
      <c r="I4" s="6" t="s">
        <v>27</v>
      </c>
      <c r="J4" s="6" t="s">
        <v>28</v>
      </c>
      <c r="K4" s="6" t="str">
        <f>CONCATENATE("214")</f>
        <v>214</v>
      </c>
      <c r="L4" s="6" t="str">
        <f>CONCATENATE("11 11.2 4b")</f>
        <v>11 11.2 4b</v>
      </c>
      <c r="M4" s="6" t="str">
        <f>CONCATENATE("VNTNTN74H08F135Z")</f>
        <v>VNTNTN74H08F135Z</v>
      </c>
      <c r="N4" s="6" t="s">
        <v>44</v>
      </c>
      <c r="O4" s="6" t="s">
        <v>45</v>
      </c>
      <c r="P4" s="7">
        <v>42136</v>
      </c>
      <c r="Q4" s="6" t="s">
        <v>29</v>
      </c>
      <c r="R4" s="6" t="s">
        <v>30</v>
      </c>
      <c r="S4" s="6" t="s">
        <v>31</v>
      </c>
      <c r="T4" s="6">
        <v>576.21</v>
      </c>
      <c r="U4" s="6">
        <v>248.46</v>
      </c>
      <c r="V4" s="6">
        <v>229.45</v>
      </c>
      <c r="W4" s="6">
        <v>98.3</v>
      </c>
    </row>
    <row r="5" spans="1:23" ht="24.75" x14ac:dyDescent="0.25">
      <c r="A5" s="6" t="s">
        <v>24</v>
      </c>
      <c r="B5" s="6" t="s">
        <v>25</v>
      </c>
      <c r="C5" s="6" t="s">
        <v>41</v>
      </c>
      <c r="D5" s="6" t="s">
        <v>46</v>
      </c>
      <c r="E5" s="6" t="s">
        <v>32</v>
      </c>
      <c r="F5" s="6" t="s">
        <v>47</v>
      </c>
      <c r="G5" s="6">
        <v>2015</v>
      </c>
      <c r="H5" s="6" t="str">
        <f>CONCATENATE("54745095890")</f>
        <v>54745095890</v>
      </c>
      <c r="I5" s="6" t="s">
        <v>27</v>
      </c>
      <c r="J5" s="6" t="s">
        <v>28</v>
      </c>
      <c r="K5" s="6" t="str">
        <f>CONCATENATE("211")</f>
        <v>211</v>
      </c>
      <c r="L5" s="6" t="str">
        <f>CONCATENATE("13 13.1 4a")</f>
        <v>13 13.1 4a</v>
      </c>
      <c r="M5" s="6" t="str">
        <f>CONCATENATE("MRNPTR39H21I653P")</f>
        <v>MRNPTR39H21I653P</v>
      </c>
      <c r="N5" s="6" t="s">
        <v>48</v>
      </c>
      <c r="O5" s="6" t="s">
        <v>49</v>
      </c>
      <c r="P5" s="7">
        <v>42696</v>
      </c>
      <c r="Q5" s="6" t="s">
        <v>29</v>
      </c>
      <c r="R5" s="6" t="s">
        <v>30</v>
      </c>
      <c r="S5" s="6" t="s">
        <v>31</v>
      </c>
      <c r="T5" s="8">
        <v>1765.72</v>
      </c>
      <c r="U5" s="6">
        <v>761.38</v>
      </c>
      <c r="V5" s="6">
        <v>703.11</v>
      </c>
      <c r="W5" s="6">
        <v>301.23</v>
      </c>
    </row>
    <row r="6" spans="1:23" ht="24.75" x14ac:dyDescent="0.25">
      <c r="A6" s="6" t="s">
        <v>24</v>
      </c>
      <c r="B6" s="6" t="s">
        <v>25</v>
      </c>
      <c r="C6" s="6" t="s">
        <v>41</v>
      </c>
      <c r="D6" s="6" t="s">
        <v>50</v>
      </c>
      <c r="E6" s="6" t="s">
        <v>32</v>
      </c>
      <c r="F6" s="6" t="s">
        <v>51</v>
      </c>
      <c r="G6" s="6">
        <v>2014</v>
      </c>
      <c r="H6" s="6" t="str">
        <f>CONCATENATE("44745324754")</f>
        <v>44745324754</v>
      </c>
      <c r="I6" s="6" t="s">
        <v>27</v>
      </c>
      <c r="J6" s="6" t="s">
        <v>28</v>
      </c>
      <c r="K6" s="6" t="str">
        <f>CONCATENATE("211")</f>
        <v>211</v>
      </c>
      <c r="L6" s="6" t="str">
        <f>CONCATENATE("13 13.1 4a")</f>
        <v>13 13.1 4a</v>
      </c>
      <c r="M6" s="6" t="str">
        <f>CONCATENATE("CPPLNZ48L08B474P")</f>
        <v>CPPLNZ48L08B474P</v>
      </c>
      <c r="N6" s="6" t="s">
        <v>52</v>
      </c>
      <c r="O6" s="6" t="s">
        <v>53</v>
      </c>
      <c r="P6" s="7">
        <v>41990</v>
      </c>
      <c r="Q6" s="6" t="s">
        <v>29</v>
      </c>
      <c r="R6" s="6" t="s">
        <v>30</v>
      </c>
      <c r="S6" s="6" t="s">
        <v>31</v>
      </c>
      <c r="T6" s="8">
        <v>1859.8</v>
      </c>
      <c r="U6" s="6">
        <v>801.95</v>
      </c>
      <c r="V6" s="6">
        <v>740.57</v>
      </c>
      <c r="W6" s="6">
        <v>317.27999999999997</v>
      </c>
    </row>
    <row r="7" spans="1:23" ht="24.75" x14ac:dyDescent="0.25">
      <c r="A7" s="6" t="s">
        <v>24</v>
      </c>
      <c r="B7" s="6" t="s">
        <v>25</v>
      </c>
      <c r="C7" s="6" t="s">
        <v>41</v>
      </c>
      <c r="D7" s="6" t="s">
        <v>42</v>
      </c>
      <c r="E7" s="6" t="s">
        <v>34</v>
      </c>
      <c r="F7" s="6" t="s">
        <v>54</v>
      </c>
      <c r="G7" s="6">
        <v>2014</v>
      </c>
      <c r="H7" s="6" t="str">
        <f>CONCATENATE("44715837264")</f>
        <v>44715837264</v>
      </c>
      <c r="I7" s="6" t="s">
        <v>27</v>
      </c>
      <c r="J7" s="6" t="s">
        <v>28</v>
      </c>
      <c r="K7" s="6" t="str">
        <f>CONCATENATE("214")</f>
        <v>214</v>
      </c>
      <c r="L7" s="6" t="str">
        <f>CONCATENATE("11 11.2 4b")</f>
        <v>11 11.2 4b</v>
      </c>
      <c r="M7" s="6" t="str">
        <f>CONCATENATE("01329340416")</f>
        <v>01329340416</v>
      </c>
      <c r="N7" s="6" t="s">
        <v>55</v>
      </c>
      <c r="O7" s="6" t="s">
        <v>56</v>
      </c>
      <c r="P7" s="7">
        <v>42200</v>
      </c>
      <c r="Q7" s="6" t="s">
        <v>29</v>
      </c>
      <c r="R7" s="6" t="s">
        <v>30</v>
      </c>
      <c r="S7" s="6" t="s">
        <v>31</v>
      </c>
      <c r="T7" s="8">
        <v>30529.62</v>
      </c>
      <c r="U7" s="8">
        <v>13164.37</v>
      </c>
      <c r="V7" s="8">
        <v>12156.89</v>
      </c>
      <c r="W7" s="8">
        <v>5208.3599999999997</v>
      </c>
    </row>
    <row r="8" spans="1:23" ht="24.75" x14ac:dyDescent="0.25">
      <c r="A8" s="6" t="s">
        <v>24</v>
      </c>
      <c r="B8" s="6" t="s">
        <v>25</v>
      </c>
      <c r="C8" s="6" t="s">
        <v>41</v>
      </c>
      <c r="D8" s="6" t="s">
        <v>46</v>
      </c>
      <c r="E8" s="6" t="s">
        <v>26</v>
      </c>
      <c r="F8" s="6" t="s">
        <v>57</v>
      </c>
      <c r="G8" s="6">
        <v>2015</v>
      </c>
      <c r="H8" s="6" t="str">
        <f>CONCATENATE("54715680762")</f>
        <v>54715680762</v>
      </c>
      <c r="I8" s="6" t="s">
        <v>27</v>
      </c>
      <c r="J8" s="6" t="s">
        <v>28</v>
      </c>
      <c r="K8" s="6" t="str">
        <f>CONCATENATE("214")</f>
        <v>214</v>
      </c>
      <c r="L8" s="6" t="str">
        <f>CONCATENATE("10 10.1 4a")</f>
        <v>10 10.1 4a</v>
      </c>
      <c r="M8" s="6" t="str">
        <f>CONCATENATE("CSTLGN53R09A366T")</f>
        <v>CSTLGN53R09A366T</v>
      </c>
      <c r="N8" s="6" t="s">
        <v>58</v>
      </c>
      <c r="O8" s="6" t="s">
        <v>59</v>
      </c>
      <c r="P8" s="7">
        <v>42696</v>
      </c>
      <c r="Q8" s="6" t="s">
        <v>29</v>
      </c>
      <c r="R8" s="6" t="s">
        <v>30</v>
      </c>
      <c r="S8" s="6" t="s">
        <v>31</v>
      </c>
      <c r="T8" s="6">
        <v>52.8</v>
      </c>
      <c r="U8" s="6">
        <v>22.77</v>
      </c>
      <c r="V8" s="6">
        <v>21.02</v>
      </c>
      <c r="W8" s="6">
        <v>9.01</v>
      </c>
    </row>
    <row r="9" spans="1:23" ht="24.75" x14ac:dyDescent="0.25">
      <c r="A9" s="6" t="s">
        <v>24</v>
      </c>
      <c r="B9" s="6" t="s">
        <v>25</v>
      </c>
      <c r="C9" s="6" t="s">
        <v>41</v>
      </c>
      <c r="D9" s="6" t="s">
        <v>46</v>
      </c>
      <c r="E9" s="6" t="s">
        <v>32</v>
      </c>
      <c r="F9" s="6" t="s">
        <v>60</v>
      </c>
      <c r="G9" s="6">
        <v>2015</v>
      </c>
      <c r="H9" s="6" t="str">
        <f>CONCATENATE("54715623713")</f>
        <v>54715623713</v>
      </c>
      <c r="I9" s="6" t="s">
        <v>27</v>
      </c>
      <c r="J9" s="6" t="s">
        <v>28</v>
      </c>
      <c r="K9" s="6" t="str">
        <f>CONCATENATE("214")</f>
        <v>214</v>
      </c>
      <c r="L9" s="6" t="str">
        <f>CONCATENATE("11 11.2 4b")</f>
        <v>11 11.2 4b</v>
      </c>
      <c r="M9" s="6" t="str">
        <f>CONCATENATE("BNCSNL52S69I653A")</f>
        <v>BNCSNL52S69I653A</v>
      </c>
      <c r="N9" s="6" t="s">
        <v>61</v>
      </c>
      <c r="O9" s="6" t="s">
        <v>59</v>
      </c>
      <c r="P9" s="7">
        <v>42696</v>
      </c>
      <c r="Q9" s="6" t="s">
        <v>29</v>
      </c>
      <c r="R9" s="6" t="s">
        <v>30</v>
      </c>
      <c r="S9" s="6" t="s">
        <v>31</v>
      </c>
      <c r="T9" s="6">
        <v>478.87</v>
      </c>
      <c r="U9" s="6">
        <v>206.49</v>
      </c>
      <c r="V9" s="6">
        <v>190.69</v>
      </c>
      <c r="W9" s="6">
        <v>81.69</v>
      </c>
    </row>
    <row r="10" spans="1:23" ht="24.75" x14ac:dyDescent="0.25">
      <c r="A10" s="6" t="s">
        <v>24</v>
      </c>
      <c r="B10" s="6" t="s">
        <v>25</v>
      </c>
      <c r="C10" s="6" t="s">
        <v>41</v>
      </c>
      <c r="D10" s="6" t="s">
        <v>62</v>
      </c>
      <c r="E10" s="6" t="s">
        <v>39</v>
      </c>
      <c r="F10" s="6" t="s">
        <v>39</v>
      </c>
      <c r="G10" s="6">
        <v>2014</v>
      </c>
      <c r="H10" s="6" t="str">
        <f>CONCATENATE("44715029763")</f>
        <v>44715029763</v>
      </c>
      <c r="I10" s="6" t="s">
        <v>27</v>
      </c>
      <c r="J10" s="6" t="s">
        <v>28</v>
      </c>
      <c r="K10" s="6" t="str">
        <f>CONCATENATE("214")</f>
        <v>214</v>
      </c>
      <c r="L10" s="6" t="str">
        <f>CONCATENATE("11 11.2 4b")</f>
        <v>11 11.2 4b</v>
      </c>
      <c r="M10" s="6" t="str">
        <f>CONCATENATE("TRNBRN47C30D096W")</f>
        <v>TRNBRN47C30D096W</v>
      </c>
      <c r="N10" s="6" t="s">
        <v>63</v>
      </c>
      <c r="O10" s="6" t="s">
        <v>64</v>
      </c>
      <c r="P10" s="7">
        <v>42696</v>
      </c>
      <c r="Q10" s="6" t="s">
        <v>29</v>
      </c>
      <c r="R10" s="6" t="s">
        <v>30</v>
      </c>
      <c r="S10" s="6" t="s">
        <v>31</v>
      </c>
      <c r="T10" s="8">
        <v>1417.89</v>
      </c>
      <c r="U10" s="6">
        <v>611.39</v>
      </c>
      <c r="V10" s="6">
        <v>564.6</v>
      </c>
      <c r="W10" s="6">
        <v>241.9</v>
      </c>
    </row>
    <row r="11" spans="1:23" ht="24.75" x14ac:dyDescent="0.25">
      <c r="A11" s="6" t="s">
        <v>24</v>
      </c>
      <c r="B11" s="6" t="s">
        <v>25</v>
      </c>
      <c r="C11" s="6" t="s">
        <v>41</v>
      </c>
      <c r="D11" s="6" t="s">
        <v>50</v>
      </c>
      <c r="E11" s="6" t="s">
        <v>32</v>
      </c>
      <c r="F11" s="6" t="s">
        <v>65</v>
      </c>
      <c r="G11" s="6">
        <v>2014</v>
      </c>
      <c r="H11" s="6" t="str">
        <f>CONCATENATE("44715596639")</f>
        <v>44715596639</v>
      </c>
      <c r="I11" s="6" t="s">
        <v>27</v>
      </c>
      <c r="J11" s="6" t="s">
        <v>28</v>
      </c>
      <c r="K11" s="6" t="str">
        <f>CONCATENATE("214")</f>
        <v>214</v>
      </c>
      <c r="L11" s="6" t="str">
        <f>CONCATENATE("11 11.2 4b")</f>
        <v>11 11.2 4b</v>
      </c>
      <c r="M11" s="6" t="str">
        <f>CONCATENATE("QTTRND51M02F454O")</f>
        <v>QTTRND51M02F454O</v>
      </c>
      <c r="N11" s="6" t="s">
        <v>66</v>
      </c>
      <c r="O11" s="6" t="s">
        <v>64</v>
      </c>
      <c r="P11" s="7">
        <v>42696</v>
      </c>
      <c r="Q11" s="6" t="s">
        <v>29</v>
      </c>
      <c r="R11" s="6" t="s">
        <v>30</v>
      </c>
      <c r="S11" s="6" t="s">
        <v>31</v>
      </c>
      <c r="T11" s="8">
        <v>1358.3</v>
      </c>
      <c r="U11" s="6">
        <v>585.70000000000005</v>
      </c>
      <c r="V11" s="6">
        <v>540.88</v>
      </c>
      <c r="W11" s="6">
        <v>231.72</v>
      </c>
    </row>
    <row r="12" spans="1:23" ht="24.75" x14ac:dyDescent="0.25">
      <c r="A12" s="6" t="s">
        <v>24</v>
      </c>
      <c r="B12" s="6" t="s">
        <v>25</v>
      </c>
      <c r="C12" s="6" t="s">
        <v>41</v>
      </c>
      <c r="D12" s="6" t="s">
        <v>46</v>
      </c>
      <c r="E12" s="6" t="s">
        <v>32</v>
      </c>
      <c r="F12" s="6" t="s">
        <v>67</v>
      </c>
      <c r="G12" s="6">
        <v>2015</v>
      </c>
      <c r="H12" s="6" t="str">
        <f>CONCATENATE("54745091352")</f>
        <v>54745091352</v>
      </c>
      <c r="I12" s="6" t="s">
        <v>33</v>
      </c>
      <c r="J12" s="6" t="s">
        <v>28</v>
      </c>
      <c r="K12" s="6" t="str">
        <f>CONCATENATE("211")</f>
        <v>211</v>
      </c>
      <c r="L12" s="6" t="str">
        <f>CONCATENATE("13 13.1 4a")</f>
        <v>13 13.1 4a</v>
      </c>
      <c r="M12" s="6" t="str">
        <f>CONCATENATE("MNCGDE31P19I461F")</f>
        <v>MNCGDE31P19I461F</v>
      </c>
      <c r="N12" s="6" t="s">
        <v>68</v>
      </c>
      <c r="O12" s="6" t="s">
        <v>49</v>
      </c>
      <c r="P12" s="7">
        <v>42696</v>
      </c>
      <c r="Q12" s="6" t="s">
        <v>29</v>
      </c>
      <c r="R12" s="6" t="s">
        <v>30</v>
      </c>
      <c r="S12" s="6" t="s">
        <v>31</v>
      </c>
      <c r="T12" s="8">
        <v>1339.3</v>
      </c>
      <c r="U12" s="6">
        <v>577.51</v>
      </c>
      <c r="V12" s="6">
        <v>533.30999999999995</v>
      </c>
      <c r="W12" s="6">
        <v>228.48</v>
      </c>
    </row>
    <row r="13" spans="1:23" ht="24.75" x14ac:dyDescent="0.25">
      <c r="A13" s="6" t="s">
        <v>24</v>
      </c>
      <c r="B13" s="6" t="s">
        <v>25</v>
      </c>
      <c r="C13" s="6" t="s">
        <v>41</v>
      </c>
      <c r="D13" s="6" t="s">
        <v>46</v>
      </c>
      <c r="E13" s="6" t="s">
        <v>32</v>
      </c>
      <c r="F13" s="6" t="s">
        <v>67</v>
      </c>
      <c r="G13" s="6">
        <v>2015</v>
      </c>
      <c r="H13" s="6" t="str">
        <f>CONCATENATE("54745066552")</f>
        <v>54745066552</v>
      </c>
      <c r="I13" s="6" t="s">
        <v>33</v>
      </c>
      <c r="J13" s="6" t="s">
        <v>28</v>
      </c>
      <c r="K13" s="6" t="str">
        <f>CONCATENATE("211")</f>
        <v>211</v>
      </c>
      <c r="L13" s="6" t="str">
        <f>CONCATENATE("13 13.1 4a")</f>
        <v>13 13.1 4a</v>
      </c>
      <c r="M13" s="6" t="str">
        <f>CONCATENATE("SBSGBR57S13A366M")</f>
        <v>SBSGBR57S13A366M</v>
      </c>
      <c r="N13" s="6" t="s">
        <v>69</v>
      </c>
      <c r="O13" s="6" t="s">
        <v>49</v>
      </c>
      <c r="P13" s="7">
        <v>42696</v>
      </c>
      <c r="Q13" s="6" t="s">
        <v>29</v>
      </c>
      <c r="R13" s="6" t="s">
        <v>30</v>
      </c>
      <c r="S13" s="6" t="s">
        <v>31</v>
      </c>
      <c r="T13" s="8">
        <v>1284.48</v>
      </c>
      <c r="U13" s="6">
        <v>553.87</v>
      </c>
      <c r="V13" s="6">
        <v>511.48</v>
      </c>
      <c r="W13" s="6">
        <v>219.13</v>
      </c>
    </row>
    <row r="14" spans="1:23" ht="24.75" x14ac:dyDescent="0.25">
      <c r="A14" s="6" t="s">
        <v>24</v>
      </c>
      <c r="B14" s="6" t="s">
        <v>25</v>
      </c>
      <c r="C14" s="6" t="s">
        <v>41</v>
      </c>
      <c r="D14" s="6" t="s">
        <v>46</v>
      </c>
      <c r="E14" s="6" t="s">
        <v>37</v>
      </c>
      <c r="F14" s="6" t="s">
        <v>70</v>
      </c>
      <c r="G14" s="6">
        <v>2015</v>
      </c>
      <c r="H14" s="6" t="str">
        <f>CONCATENATE("54715365323")</f>
        <v>54715365323</v>
      </c>
      <c r="I14" s="6" t="s">
        <v>27</v>
      </c>
      <c r="J14" s="6" t="s">
        <v>28</v>
      </c>
      <c r="K14" s="6" t="str">
        <f>CONCATENATE("214")</f>
        <v>214</v>
      </c>
      <c r="L14" s="6" t="str">
        <f>CONCATENATE("11 11.2 4b")</f>
        <v>11 11.2 4b</v>
      </c>
      <c r="M14" s="6" t="str">
        <f>CONCATENATE("02118990429")</f>
        <v>02118990429</v>
      </c>
      <c r="N14" s="6" t="s">
        <v>71</v>
      </c>
      <c r="O14" s="6" t="s">
        <v>59</v>
      </c>
      <c r="P14" s="7">
        <v>42696</v>
      </c>
      <c r="Q14" s="6" t="s">
        <v>29</v>
      </c>
      <c r="R14" s="6" t="s">
        <v>30</v>
      </c>
      <c r="S14" s="6" t="s">
        <v>31</v>
      </c>
      <c r="T14" s="8">
        <v>14901.6</v>
      </c>
      <c r="U14" s="8">
        <v>6425.57</v>
      </c>
      <c r="V14" s="8">
        <v>5933.82</v>
      </c>
      <c r="W14" s="8">
        <v>2542.21</v>
      </c>
    </row>
    <row r="15" spans="1:23" ht="24.75" x14ac:dyDescent="0.25">
      <c r="A15" s="6" t="s">
        <v>24</v>
      </c>
      <c r="B15" s="6" t="s">
        <v>25</v>
      </c>
      <c r="C15" s="6" t="s">
        <v>41</v>
      </c>
      <c r="D15" s="6" t="s">
        <v>50</v>
      </c>
      <c r="E15" s="6" t="s">
        <v>32</v>
      </c>
      <c r="F15" s="6" t="s">
        <v>72</v>
      </c>
      <c r="G15" s="6">
        <v>2015</v>
      </c>
      <c r="H15" s="6" t="str">
        <f>CONCATENATE("54715607153")</f>
        <v>54715607153</v>
      </c>
      <c r="I15" s="6" t="s">
        <v>27</v>
      </c>
      <c r="J15" s="6" t="s">
        <v>28</v>
      </c>
      <c r="K15" s="6" t="str">
        <f>CONCATENATE("214")</f>
        <v>214</v>
      </c>
      <c r="L15" s="6" t="str">
        <f>CONCATENATE("11 11.1 4b")</f>
        <v>11 11.1 4b</v>
      </c>
      <c r="M15" s="6" t="str">
        <f>CONCATENATE("CMPMLN68R23E783V")</f>
        <v>CMPMLN68R23E783V</v>
      </c>
      <c r="N15" s="6" t="s">
        <v>73</v>
      </c>
      <c r="O15" s="6" t="s">
        <v>74</v>
      </c>
      <c r="P15" s="7">
        <v>42545</v>
      </c>
      <c r="Q15" s="6" t="s">
        <v>29</v>
      </c>
      <c r="R15" s="6" t="s">
        <v>30</v>
      </c>
      <c r="S15" s="6" t="s">
        <v>31</v>
      </c>
      <c r="T15" s="8">
        <v>3299.61</v>
      </c>
      <c r="U15" s="8">
        <v>1422.79</v>
      </c>
      <c r="V15" s="8">
        <v>1313.9</v>
      </c>
      <c r="W15" s="6">
        <v>562.91999999999996</v>
      </c>
    </row>
    <row r="16" spans="1:23" ht="24.75" x14ac:dyDescent="0.25">
      <c r="A16" s="6" t="s">
        <v>24</v>
      </c>
      <c r="B16" s="6" t="s">
        <v>25</v>
      </c>
      <c r="C16" s="6" t="s">
        <v>41</v>
      </c>
      <c r="D16" s="6" t="s">
        <v>46</v>
      </c>
      <c r="E16" s="6" t="s">
        <v>32</v>
      </c>
      <c r="F16" s="6" t="s">
        <v>67</v>
      </c>
      <c r="G16" s="6">
        <v>2015</v>
      </c>
      <c r="H16" s="6" t="str">
        <f>CONCATENATE("54745082245")</f>
        <v>54745082245</v>
      </c>
      <c r="I16" s="6" t="s">
        <v>33</v>
      </c>
      <c r="J16" s="6" t="s">
        <v>28</v>
      </c>
      <c r="K16" s="6" t="str">
        <f>CONCATENATE("211")</f>
        <v>211</v>
      </c>
      <c r="L16" s="6" t="str">
        <f>CONCATENATE("13 13.1 4a")</f>
        <v>13 13.1 4a</v>
      </c>
      <c r="M16" s="6" t="str">
        <f>CONCATENATE("GNTSTN46D26A366Y")</f>
        <v>GNTSTN46D26A366Y</v>
      </c>
      <c r="N16" s="6" t="s">
        <v>75</v>
      </c>
      <c r="O16" s="6" t="s">
        <v>49</v>
      </c>
      <c r="P16" s="7">
        <v>42696</v>
      </c>
      <c r="Q16" s="6" t="s">
        <v>29</v>
      </c>
      <c r="R16" s="6" t="s">
        <v>30</v>
      </c>
      <c r="S16" s="6" t="s">
        <v>31</v>
      </c>
      <c r="T16" s="8">
        <v>1432.62</v>
      </c>
      <c r="U16" s="6">
        <v>617.75</v>
      </c>
      <c r="V16" s="6">
        <v>570.47</v>
      </c>
      <c r="W16" s="6">
        <v>244.4</v>
      </c>
    </row>
    <row r="17" spans="1:23" ht="24.75" x14ac:dyDescent="0.25">
      <c r="A17" s="6" t="s">
        <v>24</v>
      </c>
      <c r="B17" s="6" t="s">
        <v>25</v>
      </c>
      <c r="C17" s="6" t="s">
        <v>41</v>
      </c>
      <c r="D17" s="6" t="s">
        <v>50</v>
      </c>
      <c r="E17" s="6" t="s">
        <v>26</v>
      </c>
      <c r="F17" s="6" t="s">
        <v>57</v>
      </c>
      <c r="G17" s="6">
        <v>2014</v>
      </c>
      <c r="H17" s="6" t="str">
        <f>CONCATENATE("44715669808")</f>
        <v>44715669808</v>
      </c>
      <c r="I17" s="6" t="s">
        <v>27</v>
      </c>
      <c r="J17" s="6" t="s">
        <v>28</v>
      </c>
      <c r="K17" s="6" t="str">
        <f>CONCATENATE("214")</f>
        <v>214</v>
      </c>
      <c r="L17" s="6" t="str">
        <f>CONCATENATE("11 11.2 4b")</f>
        <v>11 11.2 4b</v>
      </c>
      <c r="M17" s="6" t="str">
        <f>CONCATENATE("02108620416")</f>
        <v>02108620416</v>
      </c>
      <c r="N17" s="6" t="s">
        <v>76</v>
      </c>
      <c r="O17" s="6" t="s">
        <v>77</v>
      </c>
      <c r="P17" s="7">
        <v>42348</v>
      </c>
      <c r="Q17" s="6" t="s">
        <v>29</v>
      </c>
      <c r="R17" s="6" t="s">
        <v>30</v>
      </c>
      <c r="S17" s="6" t="s">
        <v>31</v>
      </c>
      <c r="T17" s="6">
        <v>194.65</v>
      </c>
      <c r="U17" s="6">
        <v>83.93</v>
      </c>
      <c r="V17" s="6">
        <v>77.510000000000005</v>
      </c>
      <c r="W17" s="6">
        <v>33.21</v>
      </c>
    </row>
    <row r="18" spans="1:23" ht="24.75" x14ac:dyDescent="0.25">
      <c r="A18" s="6" t="s">
        <v>24</v>
      </c>
      <c r="B18" s="6" t="s">
        <v>25</v>
      </c>
      <c r="C18" s="6" t="s">
        <v>41</v>
      </c>
      <c r="D18" s="6" t="s">
        <v>50</v>
      </c>
      <c r="E18" s="6" t="s">
        <v>32</v>
      </c>
      <c r="F18" s="6" t="s">
        <v>72</v>
      </c>
      <c r="G18" s="6">
        <v>2014</v>
      </c>
      <c r="H18" s="6" t="str">
        <f>CONCATENATE("44715842363")</f>
        <v>44715842363</v>
      </c>
      <c r="I18" s="6" t="s">
        <v>27</v>
      </c>
      <c r="J18" s="6" t="s">
        <v>28</v>
      </c>
      <c r="K18" s="6" t="str">
        <f>CONCATENATE("214")</f>
        <v>214</v>
      </c>
      <c r="L18" s="6" t="str">
        <f>CONCATENATE("11 11.2 4b")</f>
        <v>11 11.2 4b</v>
      </c>
      <c r="M18" s="6" t="str">
        <f>CONCATENATE("BCCNRC78C21I436T")</f>
        <v>BCCNRC78C21I436T</v>
      </c>
      <c r="N18" s="6" t="s">
        <v>78</v>
      </c>
      <c r="O18" s="6" t="s">
        <v>79</v>
      </c>
      <c r="P18" s="7">
        <v>42312</v>
      </c>
      <c r="Q18" s="6" t="s">
        <v>29</v>
      </c>
      <c r="R18" s="6" t="s">
        <v>30</v>
      </c>
      <c r="S18" s="6" t="s">
        <v>31</v>
      </c>
      <c r="T18" s="8">
        <v>7835.27</v>
      </c>
      <c r="U18" s="8">
        <v>3378.57</v>
      </c>
      <c r="V18" s="8">
        <v>3120</v>
      </c>
      <c r="W18" s="8">
        <v>1336.7</v>
      </c>
    </row>
    <row r="19" spans="1:23" ht="24.75" x14ac:dyDescent="0.25">
      <c r="A19" s="6" t="s">
        <v>24</v>
      </c>
      <c r="B19" s="6" t="s">
        <v>25</v>
      </c>
      <c r="C19" s="6" t="s">
        <v>41</v>
      </c>
      <c r="D19" s="6" t="s">
        <v>42</v>
      </c>
      <c r="E19" s="6" t="s">
        <v>26</v>
      </c>
      <c r="F19" s="6" t="s">
        <v>80</v>
      </c>
      <c r="G19" s="6">
        <v>2014</v>
      </c>
      <c r="H19" s="6" t="str">
        <f>CONCATENATE("44715850788")</f>
        <v>44715850788</v>
      </c>
      <c r="I19" s="6" t="s">
        <v>27</v>
      </c>
      <c r="J19" s="6" t="s">
        <v>28</v>
      </c>
      <c r="K19" s="6" t="str">
        <f>CONCATENATE("214")</f>
        <v>214</v>
      </c>
      <c r="L19" s="6" t="str">
        <f>CONCATENATE("11 11.2 4b")</f>
        <v>11 11.2 4b</v>
      </c>
      <c r="M19" s="6" t="str">
        <f>CONCATENATE("01160920417")</f>
        <v>01160920417</v>
      </c>
      <c r="N19" s="6" t="s">
        <v>81</v>
      </c>
      <c r="O19" s="6" t="s">
        <v>82</v>
      </c>
      <c r="P19" s="7">
        <v>42307</v>
      </c>
      <c r="Q19" s="6" t="s">
        <v>29</v>
      </c>
      <c r="R19" s="6" t="s">
        <v>30</v>
      </c>
      <c r="S19" s="6" t="s">
        <v>31</v>
      </c>
      <c r="T19" s="8">
        <v>5092.99</v>
      </c>
      <c r="U19" s="8">
        <v>2196.1</v>
      </c>
      <c r="V19" s="8">
        <v>2028.03</v>
      </c>
      <c r="W19" s="6">
        <v>868.86</v>
      </c>
    </row>
    <row r="20" spans="1:23" ht="24.75" x14ac:dyDescent="0.25">
      <c r="A20" s="6" t="s">
        <v>24</v>
      </c>
      <c r="B20" s="6" t="s">
        <v>25</v>
      </c>
      <c r="C20" s="6" t="s">
        <v>41</v>
      </c>
      <c r="D20" s="6" t="s">
        <v>42</v>
      </c>
      <c r="E20" s="6" t="s">
        <v>26</v>
      </c>
      <c r="F20" s="6" t="s">
        <v>83</v>
      </c>
      <c r="G20" s="6">
        <v>2014</v>
      </c>
      <c r="H20" s="6" t="str">
        <f>CONCATENATE("44715482384")</f>
        <v>44715482384</v>
      </c>
      <c r="I20" s="6" t="s">
        <v>27</v>
      </c>
      <c r="J20" s="6" t="s">
        <v>28</v>
      </c>
      <c r="K20" s="6" t="str">
        <f>CONCATENATE("214")</f>
        <v>214</v>
      </c>
      <c r="L20" s="6" t="str">
        <f>CONCATENATE("11 11.2 4b")</f>
        <v>11 11.2 4b</v>
      </c>
      <c r="M20" s="6" t="str">
        <f>CONCATENATE("MSCJSC91B52L500R")</f>
        <v>MSCJSC91B52L500R</v>
      </c>
      <c r="N20" s="6" t="s">
        <v>84</v>
      </c>
      <c r="O20" s="6" t="s">
        <v>85</v>
      </c>
      <c r="P20" s="7">
        <v>42220</v>
      </c>
      <c r="Q20" s="6" t="s">
        <v>29</v>
      </c>
      <c r="R20" s="6" t="s">
        <v>30</v>
      </c>
      <c r="S20" s="6" t="s">
        <v>31</v>
      </c>
      <c r="T20" s="6">
        <v>378.1</v>
      </c>
      <c r="U20" s="6">
        <v>163.04</v>
      </c>
      <c r="V20" s="6">
        <v>150.56</v>
      </c>
      <c r="W20" s="6">
        <v>64.5</v>
      </c>
    </row>
    <row r="21" spans="1:23" ht="24.75" x14ac:dyDescent="0.25">
      <c r="A21" s="6" t="s">
        <v>24</v>
      </c>
      <c r="B21" s="6" t="s">
        <v>25</v>
      </c>
      <c r="C21" s="6" t="s">
        <v>41</v>
      </c>
      <c r="D21" s="6" t="s">
        <v>46</v>
      </c>
      <c r="E21" s="6" t="s">
        <v>26</v>
      </c>
      <c r="F21" s="6" t="s">
        <v>57</v>
      </c>
      <c r="G21" s="6">
        <v>2015</v>
      </c>
      <c r="H21" s="6" t="str">
        <f>CONCATENATE("54745372471")</f>
        <v>54745372471</v>
      </c>
      <c r="I21" s="6" t="s">
        <v>33</v>
      </c>
      <c r="J21" s="6" t="s">
        <v>28</v>
      </c>
      <c r="K21" s="6" t="str">
        <f>CONCATENATE("211")</f>
        <v>211</v>
      </c>
      <c r="L21" s="6" t="str">
        <f>CONCATENATE("13 13.1 4a")</f>
        <v>13 13.1 4a</v>
      </c>
      <c r="M21" s="6" t="str">
        <f>CONCATENATE("PRSMRC78B02E388S")</f>
        <v>PRSMRC78B02E388S</v>
      </c>
      <c r="N21" s="6" t="s">
        <v>86</v>
      </c>
      <c r="O21" s="6" t="s">
        <v>49</v>
      </c>
      <c r="P21" s="7">
        <v>42696</v>
      </c>
      <c r="Q21" s="6" t="s">
        <v>29</v>
      </c>
      <c r="R21" s="6" t="s">
        <v>30</v>
      </c>
      <c r="S21" s="6" t="s">
        <v>31</v>
      </c>
      <c r="T21" s="6">
        <v>866.48</v>
      </c>
      <c r="U21" s="6">
        <v>373.63</v>
      </c>
      <c r="V21" s="6">
        <v>345.03</v>
      </c>
      <c r="W21" s="6">
        <v>147.82</v>
      </c>
    </row>
    <row r="22" spans="1:23" ht="24.75" x14ac:dyDescent="0.25">
      <c r="A22" s="6" t="s">
        <v>24</v>
      </c>
      <c r="B22" s="6" t="s">
        <v>25</v>
      </c>
      <c r="C22" s="6" t="s">
        <v>41</v>
      </c>
      <c r="D22" s="6" t="s">
        <v>50</v>
      </c>
      <c r="E22" s="6" t="s">
        <v>32</v>
      </c>
      <c r="F22" s="6" t="s">
        <v>87</v>
      </c>
      <c r="G22" s="6">
        <v>2015</v>
      </c>
      <c r="H22" s="6" t="str">
        <f>CONCATENATE("54715605645")</f>
        <v>54715605645</v>
      </c>
      <c r="I22" s="6" t="s">
        <v>27</v>
      </c>
      <c r="J22" s="6" t="s">
        <v>28</v>
      </c>
      <c r="K22" s="6" t="str">
        <f>CONCATENATE("214")</f>
        <v>214</v>
      </c>
      <c r="L22" s="6" t="str">
        <f>CONCATENATE("11 11.2 4b")</f>
        <v>11 11.2 4b</v>
      </c>
      <c r="M22" s="6" t="str">
        <f>CONCATENATE("CNFNLL53D24I156R")</f>
        <v>CNFNLL53D24I156R</v>
      </c>
      <c r="N22" s="6" t="s">
        <v>88</v>
      </c>
      <c r="O22" s="6" t="s">
        <v>74</v>
      </c>
      <c r="P22" s="7">
        <v>42545</v>
      </c>
      <c r="Q22" s="6" t="s">
        <v>29</v>
      </c>
      <c r="R22" s="6" t="s">
        <v>30</v>
      </c>
      <c r="S22" s="6" t="s">
        <v>31</v>
      </c>
      <c r="T22" s="8">
        <v>4649.5</v>
      </c>
      <c r="U22" s="8">
        <v>2004.86</v>
      </c>
      <c r="V22" s="8">
        <v>1851.43</v>
      </c>
      <c r="W22" s="6">
        <v>793.21</v>
      </c>
    </row>
    <row r="23" spans="1:23" ht="24.75" x14ac:dyDescent="0.25">
      <c r="A23" s="6" t="s">
        <v>24</v>
      </c>
      <c r="B23" s="6" t="s">
        <v>25</v>
      </c>
      <c r="C23" s="6" t="s">
        <v>41</v>
      </c>
      <c r="D23" s="6" t="s">
        <v>42</v>
      </c>
      <c r="E23" s="6" t="s">
        <v>32</v>
      </c>
      <c r="F23" s="6" t="s">
        <v>89</v>
      </c>
      <c r="G23" s="6">
        <v>2015</v>
      </c>
      <c r="H23" s="6" t="str">
        <f>CONCATENATE("54745305703")</f>
        <v>54745305703</v>
      </c>
      <c r="I23" s="6" t="s">
        <v>33</v>
      </c>
      <c r="J23" s="6" t="s">
        <v>28</v>
      </c>
      <c r="K23" s="6" t="str">
        <f>CONCATENATE("211")</f>
        <v>211</v>
      </c>
      <c r="L23" s="6" t="str">
        <f>CONCATENATE("13 13.1 4a")</f>
        <v>13 13.1 4a</v>
      </c>
      <c r="M23" s="6" t="str">
        <f>CONCATENATE("DCRLGU48P05G064O")</f>
        <v>DCRLGU48P05G064O</v>
      </c>
      <c r="N23" s="6" t="s">
        <v>90</v>
      </c>
      <c r="O23" s="6" t="s">
        <v>91</v>
      </c>
      <c r="P23" s="7">
        <v>42696</v>
      </c>
      <c r="Q23" s="6" t="s">
        <v>29</v>
      </c>
      <c r="R23" s="6" t="s">
        <v>30</v>
      </c>
      <c r="S23" s="6" t="s">
        <v>31</v>
      </c>
      <c r="T23" s="8">
        <v>4381.34</v>
      </c>
      <c r="U23" s="8">
        <v>1889.23</v>
      </c>
      <c r="V23" s="8">
        <v>1744.65</v>
      </c>
      <c r="W23" s="6">
        <v>747.46</v>
      </c>
    </row>
    <row r="24" spans="1:23" ht="24.75" x14ac:dyDescent="0.25">
      <c r="A24" s="6" t="s">
        <v>24</v>
      </c>
      <c r="B24" s="6" t="s">
        <v>25</v>
      </c>
      <c r="C24" s="6" t="s">
        <v>41</v>
      </c>
      <c r="D24" s="6" t="s">
        <v>50</v>
      </c>
      <c r="E24" s="6" t="s">
        <v>32</v>
      </c>
      <c r="F24" s="6" t="s">
        <v>51</v>
      </c>
      <c r="G24" s="6">
        <v>2013</v>
      </c>
      <c r="H24" s="6" t="str">
        <f>CONCATENATE("34740386114")</f>
        <v>34740386114</v>
      </c>
      <c r="I24" s="6" t="s">
        <v>27</v>
      </c>
      <c r="J24" s="6" t="s">
        <v>28</v>
      </c>
      <c r="K24" s="6" t="str">
        <f>CONCATENATE("211")</f>
        <v>211</v>
      </c>
      <c r="L24" s="6" t="str">
        <f>CONCATENATE("13 13.1 4a")</f>
        <v>13 13.1 4a</v>
      </c>
      <c r="M24" s="6" t="str">
        <f>CONCATENATE("CPPLNZ48L08B474P")</f>
        <v>CPPLNZ48L08B474P</v>
      </c>
      <c r="N24" s="6" t="s">
        <v>52</v>
      </c>
      <c r="O24" s="6" t="s">
        <v>92</v>
      </c>
      <c r="P24" s="7">
        <v>41992</v>
      </c>
      <c r="Q24" s="6" t="s">
        <v>29</v>
      </c>
      <c r="R24" s="6" t="s">
        <v>30</v>
      </c>
      <c r="S24" s="6" t="s">
        <v>31</v>
      </c>
      <c r="T24" s="8">
        <v>1869.36</v>
      </c>
      <c r="U24" s="6">
        <v>806.07</v>
      </c>
      <c r="V24" s="6">
        <v>744.38</v>
      </c>
      <c r="W24" s="6">
        <v>318.91000000000003</v>
      </c>
    </row>
    <row r="25" spans="1:23" ht="24.75" x14ac:dyDescent="0.25">
      <c r="A25" s="6" t="s">
        <v>24</v>
      </c>
      <c r="B25" s="6" t="s">
        <v>25</v>
      </c>
      <c r="C25" s="6" t="s">
        <v>41</v>
      </c>
      <c r="D25" s="6" t="s">
        <v>50</v>
      </c>
      <c r="E25" s="6" t="s">
        <v>32</v>
      </c>
      <c r="F25" s="6" t="s">
        <v>87</v>
      </c>
      <c r="G25" s="6">
        <v>2015</v>
      </c>
      <c r="H25" s="6" t="str">
        <f>CONCATENATE("54715604218")</f>
        <v>54715604218</v>
      </c>
      <c r="I25" s="6" t="s">
        <v>27</v>
      </c>
      <c r="J25" s="6" t="s">
        <v>28</v>
      </c>
      <c r="K25" s="6" t="str">
        <f>CONCATENATE("214")</f>
        <v>214</v>
      </c>
      <c r="L25" s="6" t="str">
        <f>CONCATENATE("11 11.2 4b")</f>
        <v>11 11.2 4b</v>
      </c>
      <c r="M25" s="6" t="str">
        <f>CONCATENATE("CNFNLL53D24I156R")</f>
        <v>CNFNLL53D24I156R</v>
      </c>
      <c r="N25" s="6" t="s">
        <v>88</v>
      </c>
      <c r="O25" s="6" t="s">
        <v>74</v>
      </c>
      <c r="P25" s="7">
        <v>42545</v>
      </c>
      <c r="Q25" s="6" t="s">
        <v>29</v>
      </c>
      <c r="R25" s="6" t="s">
        <v>30</v>
      </c>
      <c r="S25" s="6" t="s">
        <v>31</v>
      </c>
      <c r="T25" s="8">
        <v>1350.4</v>
      </c>
      <c r="U25" s="6">
        <v>582.29</v>
      </c>
      <c r="V25" s="6">
        <v>537.73</v>
      </c>
      <c r="W25" s="6">
        <v>230.38</v>
      </c>
    </row>
    <row r="26" spans="1:23" ht="24.75" x14ac:dyDescent="0.25">
      <c r="A26" s="6" t="s">
        <v>24</v>
      </c>
      <c r="B26" s="6" t="s">
        <v>25</v>
      </c>
      <c r="C26" s="6" t="s">
        <v>41</v>
      </c>
      <c r="D26" s="6" t="s">
        <v>50</v>
      </c>
      <c r="E26" s="6" t="s">
        <v>26</v>
      </c>
      <c r="F26" s="6" t="s">
        <v>57</v>
      </c>
      <c r="G26" s="6">
        <v>2012</v>
      </c>
      <c r="H26" s="6" t="str">
        <f>CONCATENATE("24710408071")</f>
        <v>24710408071</v>
      </c>
      <c r="I26" s="6" t="s">
        <v>33</v>
      </c>
      <c r="J26" s="6" t="s">
        <v>28</v>
      </c>
      <c r="K26" s="6" t="str">
        <f>CONCATENATE("214")</f>
        <v>214</v>
      </c>
      <c r="L26" s="6" t="str">
        <f>CONCATENATE("11 11.2 4b")</f>
        <v>11 11.2 4b</v>
      </c>
      <c r="M26" s="6" t="str">
        <f>CONCATENATE("02108620416")</f>
        <v>02108620416</v>
      </c>
      <c r="N26" s="6" t="s">
        <v>76</v>
      </c>
      <c r="O26" s="6" t="s">
        <v>93</v>
      </c>
      <c r="P26" s="7">
        <v>42220</v>
      </c>
      <c r="Q26" s="6" t="s">
        <v>29</v>
      </c>
      <c r="R26" s="6" t="s">
        <v>30</v>
      </c>
      <c r="S26" s="6" t="s">
        <v>31</v>
      </c>
      <c r="T26" s="6">
        <v>206.56</v>
      </c>
      <c r="U26" s="6">
        <v>89.07</v>
      </c>
      <c r="V26" s="6">
        <v>82.25</v>
      </c>
      <c r="W26" s="6">
        <v>35.24</v>
      </c>
    </row>
    <row r="27" spans="1:23" ht="24.75" x14ac:dyDescent="0.25">
      <c r="A27" s="6" t="s">
        <v>24</v>
      </c>
      <c r="B27" s="6" t="s">
        <v>25</v>
      </c>
      <c r="C27" s="6" t="s">
        <v>41</v>
      </c>
      <c r="D27" s="6" t="s">
        <v>50</v>
      </c>
      <c r="E27" s="6" t="s">
        <v>26</v>
      </c>
      <c r="F27" s="6" t="s">
        <v>94</v>
      </c>
      <c r="G27" s="6">
        <v>2015</v>
      </c>
      <c r="H27" s="6" t="str">
        <f>CONCATENATE("54715297138")</f>
        <v>54715297138</v>
      </c>
      <c r="I27" s="6" t="s">
        <v>27</v>
      </c>
      <c r="J27" s="6" t="s">
        <v>28</v>
      </c>
      <c r="K27" s="6" t="str">
        <f>CONCATENATE("214")</f>
        <v>214</v>
      </c>
      <c r="L27" s="6" t="str">
        <f>CONCATENATE("11 11.2 4b")</f>
        <v>11 11.2 4b</v>
      </c>
      <c r="M27" s="6" t="str">
        <f>CONCATENATE("FRTSMN77S18E783D")</f>
        <v>FRTSMN77S18E783D</v>
      </c>
      <c r="N27" s="6" t="s">
        <v>95</v>
      </c>
      <c r="O27" s="6" t="s">
        <v>96</v>
      </c>
      <c r="P27" s="7">
        <v>42410</v>
      </c>
      <c r="Q27" s="6" t="s">
        <v>29</v>
      </c>
      <c r="R27" s="6" t="s">
        <v>30</v>
      </c>
      <c r="S27" s="6" t="s">
        <v>31</v>
      </c>
      <c r="T27" s="8">
        <v>11812.62</v>
      </c>
      <c r="U27" s="8">
        <v>5093.6000000000004</v>
      </c>
      <c r="V27" s="8">
        <v>4703.79</v>
      </c>
      <c r="W27" s="8">
        <v>2015.23</v>
      </c>
    </row>
    <row r="28" spans="1:23" ht="24.75" x14ac:dyDescent="0.25">
      <c r="A28" s="6" t="s">
        <v>24</v>
      </c>
      <c r="B28" s="6" t="s">
        <v>25</v>
      </c>
      <c r="C28" s="6" t="s">
        <v>41</v>
      </c>
      <c r="D28" s="6" t="s">
        <v>50</v>
      </c>
      <c r="E28" s="6" t="s">
        <v>34</v>
      </c>
      <c r="F28" s="6" t="s">
        <v>97</v>
      </c>
      <c r="G28" s="6">
        <v>2014</v>
      </c>
      <c r="H28" s="6" t="str">
        <f>CONCATENATE("44715087613")</f>
        <v>44715087613</v>
      </c>
      <c r="I28" s="6" t="s">
        <v>27</v>
      </c>
      <c r="J28" s="6" t="s">
        <v>28</v>
      </c>
      <c r="K28" s="6" t="str">
        <f>CONCATENATE("214")</f>
        <v>214</v>
      </c>
      <c r="L28" s="6" t="str">
        <f>CONCATENATE("11 11.1 4b")</f>
        <v>11 11.1 4b</v>
      </c>
      <c r="M28" s="6" t="str">
        <f>CONCATENATE("BLZCLD68T17E783E")</f>
        <v>BLZCLD68T17E783E</v>
      </c>
      <c r="N28" s="6" t="s">
        <v>98</v>
      </c>
      <c r="O28" s="6" t="s">
        <v>56</v>
      </c>
      <c r="P28" s="7">
        <v>42200</v>
      </c>
      <c r="Q28" s="6" t="s">
        <v>29</v>
      </c>
      <c r="R28" s="6" t="s">
        <v>30</v>
      </c>
      <c r="S28" s="6" t="s">
        <v>31</v>
      </c>
      <c r="T28" s="6">
        <v>508.9</v>
      </c>
      <c r="U28" s="6">
        <v>219.44</v>
      </c>
      <c r="V28" s="6">
        <v>202.64</v>
      </c>
      <c r="W28" s="6">
        <v>86.82</v>
      </c>
    </row>
    <row r="29" spans="1:23" ht="24.75" x14ac:dyDescent="0.25">
      <c r="A29" s="6" t="s">
        <v>24</v>
      </c>
      <c r="B29" s="6" t="s">
        <v>25</v>
      </c>
      <c r="C29" s="6" t="s">
        <v>41</v>
      </c>
      <c r="D29" s="6" t="s">
        <v>46</v>
      </c>
      <c r="E29" s="6" t="s">
        <v>26</v>
      </c>
      <c r="F29" s="6" t="s">
        <v>57</v>
      </c>
      <c r="G29" s="6">
        <v>2015</v>
      </c>
      <c r="H29" s="6" t="str">
        <f>CONCATENATE("54715680846")</f>
        <v>54715680846</v>
      </c>
      <c r="I29" s="6" t="s">
        <v>27</v>
      </c>
      <c r="J29" s="6" t="s">
        <v>28</v>
      </c>
      <c r="K29" s="6" t="str">
        <f>CONCATENATE("214")</f>
        <v>214</v>
      </c>
      <c r="L29" s="6" t="str">
        <f>CONCATENATE("10 10.1 4a")</f>
        <v>10 10.1 4a</v>
      </c>
      <c r="M29" s="6" t="str">
        <f>CONCATENATE("CSTLGN53R09A366T")</f>
        <v>CSTLGN53R09A366T</v>
      </c>
      <c r="N29" s="6" t="s">
        <v>58</v>
      </c>
      <c r="O29" s="6" t="s">
        <v>59</v>
      </c>
      <c r="P29" s="7">
        <v>42696</v>
      </c>
      <c r="Q29" s="6" t="s">
        <v>29</v>
      </c>
      <c r="R29" s="6" t="s">
        <v>30</v>
      </c>
      <c r="S29" s="6" t="s">
        <v>31</v>
      </c>
      <c r="T29" s="6">
        <v>19.8</v>
      </c>
      <c r="U29" s="6">
        <v>8.5399999999999991</v>
      </c>
      <c r="V29" s="6">
        <v>7.88</v>
      </c>
      <c r="W29" s="6">
        <v>3.38</v>
      </c>
    </row>
    <row r="30" spans="1:23" ht="24.75" x14ac:dyDescent="0.25">
      <c r="A30" s="6" t="s">
        <v>24</v>
      </c>
      <c r="B30" s="6" t="s">
        <v>36</v>
      </c>
      <c r="C30" s="6" t="s">
        <v>41</v>
      </c>
      <c r="D30" s="6" t="s">
        <v>46</v>
      </c>
      <c r="E30" s="6" t="s">
        <v>39</v>
      </c>
      <c r="F30" s="6" t="s">
        <v>39</v>
      </c>
      <c r="G30" s="6">
        <v>2016</v>
      </c>
      <c r="H30" s="6" t="str">
        <f>CONCATENATE("64750044352")</f>
        <v>64750044352</v>
      </c>
      <c r="I30" s="6" t="s">
        <v>33</v>
      </c>
      <c r="J30" s="6" t="s">
        <v>28</v>
      </c>
      <c r="K30" s="6" t="str">
        <f>CONCATENATE("511")</f>
        <v>511</v>
      </c>
      <c r="L30" s="6" t="str">
        <f>CONCATENATE("20 20.1 ")</f>
        <v xml:space="preserve">20 20.1 </v>
      </c>
      <c r="M30" s="6" t="str">
        <f>CONCATENATE("10532030151")</f>
        <v>10532030151</v>
      </c>
      <c r="N30" s="6" t="s">
        <v>99</v>
      </c>
      <c r="O30" s="6" t="s">
        <v>100</v>
      </c>
      <c r="P30" s="7">
        <v>42696</v>
      </c>
      <c r="Q30" s="6" t="s">
        <v>29</v>
      </c>
      <c r="R30" s="6" t="s">
        <v>40</v>
      </c>
      <c r="S30" s="6" t="s">
        <v>31</v>
      </c>
      <c r="T30" s="8">
        <v>62730</v>
      </c>
      <c r="U30" s="8">
        <v>27049.18</v>
      </c>
      <c r="V30" s="8">
        <v>24979.09</v>
      </c>
      <c r="W30" s="8">
        <v>10701.73</v>
      </c>
    </row>
    <row r="31" spans="1:23" ht="24.75" x14ac:dyDescent="0.25">
      <c r="A31" s="6" t="s">
        <v>24</v>
      </c>
      <c r="B31" s="6" t="s">
        <v>25</v>
      </c>
      <c r="C31" s="6" t="s">
        <v>41</v>
      </c>
      <c r="D31" s="6" t="s">
        <v>62</v>
      </c>
      <c r="E31" s="6" t="s">
        <v>32</v>
      </c>
      <c r="F31" s="6" t="s">
        <v>101</v>
      </c>
      <c r="G31" s="6">
        <v>2014</v>
      </c>
      <c r="H31" s="6" t="str">
        <f>CONCATENATE("44715293195")</f>
        <v>44715293195</v>
      </c>
      <c r="I31" s="6" t="s">
        <v>27</v>
      </c>
      <c r="J31" s="6" t="s">
        <v>28</v>
      </c>
      <c r="K31" s="6" t="str">
        <f>CONCATENATE("214")</f>
        <v>214</v>
      </c>
      <c r="L31" s="6" t="str">
        <f>CONCATENATE("11 11.2 4b")</f>
        <v>11 11.2 4b</v>
      </c>
      <c r="M31" s="6" t="str">
        <f>CONCATENATE("VGNGPP40C18H321G")</f>
        <v>VGNGPP40C18H321G</v>
      </c>
      <c r="N31" s="6" t="s">
        <v>102</v>
      </c>
      <c r="O31" s="6" t="s">
        <v>64</v>
      </c>
      <c r="P31" s="7">
        <v>42696</v>
      </c>
      <c r="Q31" s="6" t="s">
        <v>29</v>
      </c>
      <c r="R31" s="6" t="s">
        <v>30</v>
      </c>
      <c r="S31" s="6" t="s">
        <v>31</v>
      </c>
      <c r="T31" s="6">
        <v>786.88</v>
      </c>
      <c r="U31" s="6">
        <v>339.3</v>
      </c>
      <c r="V31" s="6">
        <v>313.33999999999997</v>
      </c>
      <c r="W31" s="6">
        <v>134.24</v>
      </c>
    </row>
    <row r="32" spans="1:23" ht="24.75" x14ac:dyDescent="0.25">
      <c r="A32" s="6" t="s">
        <v>24</v>
      </c>
      <c r="B32" s="6" t="s">
        <v>25</v>
      </c>
      <c r="C32" s="6" t="s">
        <v>41</v>
      </c>
      <c r="D32" s="6" t="s">
        <v>42</v>
      </c>
      <c r="E32" s="6" t="s">
        <v>26</v>
      </c>
      <c r="F32" s="6" t="s">
        <v>83</v>
      </c>
      <c r="G32" s="6">
        <v>2015</v>
      </c>
      <c r="H32" s="6" t="str">
        <f>CONCATENATE("54745350790")</f>
        <v>54745350790</v>
      </c>
      <c r="I32" s="6" t="s">
        <v>33</v>
      </c>
      <c r="J32" s="6" t="s">
        <v>28</v>
      </c>
      <c r="K32" s="6" t="str">
        <f>CONCATENATE("211")</f>
        <v>211</v>
      </c>
      <c r="L32" s="6" t="str">
        <f>CONCATENATE("13 13.1 4a")</f>
        <v>13 13.1 4a</v>
      </c>
      <c r="M32" s="6" t="str">
        <f>CONCATENATE("01392530414")</f>
        <v>01392530414</v>
      </c>
      <c r="N32" s="6" t="s">
        <v>103</v>
      </c>
      <c r="O32" s="6" t="s">
        <v>91</v>
      </c>
      <c r="P32" s="7">
        <v>42696</v>
      </c>
      <c r="Q32" s="6" t="s">
        <v>29</v>
      </c>
      <c r="R32" s="6" t="s">
        <v>30</v>
      </c>
      <c r="S32" s="6" t="s">
        <v>31</v>
      </c>
      <c r="T32" s="8">
        <v>7212.73</v>
      </c>
      <c r="U32" s="8">
        <v>3110.13</v>
      </c>
      <c r="V32" s="8">
        <v>2872.11</v>
      </c>
      <c r="W32" s="8">
        <v>1230.49</v>
      </c>
    </row>
    <row r="33" spans="1:23" ht="24.75" x14ac:dyDescent="0.25">
      <c r="A33" s="6" t="s">
        <v>24</v>
      </c>
      <c r="B33" s="6" t="s">
        <v>25</v>
      </c>
      <c r="C33" s="6" t="s">
        <v>41</v>
      </c>
      <c r="D33" s="6" t="s">
        <v>62</v>
      </c>
      <c r="E33" s="6" t="s">
        <v>38</v>
      </c>
      <c r="F33" s="6" t="s">
        <v>104</v>
      </c>
      <c r="G33" s="6">
        <v>2014</v>
      </c>
      <c r="H33" s="6" t="str">
        <f>CONCATENATE("44715060388")</f>
        <v>44715060388</v>
      </c>
      <c r="I33" s="6" t="s">
        <v>27</v>
      </c>
      <c r="J33" s="6" t="s">
        <v>28</v>
      </c>
      <c r="K33" s="6" t="str">
        <f>CONCATENATE("214")</f>
        <v>214</v>
      </c>
      <c r="L33" s="6" t="str">
        <f>CONCATENATE("10 10.1 4b")</f>
        <v>10 10.1 4b</v>
      </c>
      <c r="M33" s="6" t="str">
        <f>CONCATENATE("CPNGBT47D06F415B")</f>
        <v>CPNGBT47D06F415B</v>
      </c>
      <c r="N33" s="6" t="s">
        <v>105</v>
      </c>
      <c r="O33" s="6" t="s">
        <v>64</v>
      </c>
      <c r="P33" s="7">
        <v>42696</v>
      </c>
      <c r="Q33" s="6" t="s">
        <v>29</v>
      </c>
      <c r="R33" s="6" t="s">
        <v>30</v>
      </c>
      <c r="S33" s="6" t="s">
        <v>31</v>
      </c>
      <c r="T33" s="6">
        <v>108.55</v>
      </c>
      <c r="U33" s="6">
        <v>46.81</v>
      </c>
      <c r="V33" s="6">
        <v>43.22</v>
      </c>
      <c r="W33" s="6">
        <v>18.52</v>
      </c>
    </row>
    <row r="34" spans="1:23" ht="24.75" x14ac:dyDescent="0.25">
      <c r="A34" s="6" t="s">
        <v>24</v>
      </c>
      <c r="B34" s="6" t="s">
        <v>36</v>
      </c>
      <c r="C34" s="6" t="s">
        <v>41</v>
      </c>
      <c r="D34" s="6" t="s">
        <v>50</v>
      </c>
      <c r="E34" s="6" t="s">
        <v>39</v>
      </c>
      <c r="F34" s="6" t="s">
        <v>39</v>
      </c>
      <c r="G34" s="6">
        <v>2008</v>
      </c>
      <c r="H34" s="6" t="str">
        <f>CONCATENATE("84758368926")</f>
        <v>84758368926</v>
      </c>
      <c r="I34" s="6" t="s">
        <v>33</v>
      </c>
      <c r="J34" s="6" t="s">
        <v>28</v>
      </c>
      <c r="K34" s="6" t="str">
        <f>CONCATENATE("121")</f>
        <v>121</v>
      </c>
      <c r="L34" s="6" t="str">
        <f>CONCATENATE("4 4.1 2a")</f>
        <v>4 4.1 2a</v>
      </c>
      <c r="M34" s="6" t="str">
        <f>CONCATENATE("01675800435")</f>
        <v>01675800435</v>
      </c>
      <c r="N34" s="6" t="s">
        <v>106</v>
      </c>
      <c r="O34" s="6" t="s">
        <v>107</v>
      </c>
      <c r="P34" s="7">
        <v>42334</v>
      </c>
      <c r="Q34" s="6" t="s">
        <v>29</v>
      </c>
      <c r="R34" s="6" t="s">
        <v>30</v>
      </c>
      <c r="S34" s="6" t="s">
        <v>31</v>
      </c>
      <c r="T34" s="8">
        <v>119274.65</v>
      </c>
      <c r="U34" s="8">
        <v>51431.23</v>
      </c>
      <c r="V34" s="8">
        <v>47495.17</v>
      </c>
      <c r="W34" s="8">
        <v>20348.25</v>
      </c>
    </row>
    <row r="35" spans="1:23" ht="24.75" x14ac:dyDescent="0.25">
      <c r="A35" s="6" t="s">
        <v>24</v>
      </c>
      <c r="B35" s="6" t="s">
        <v>25</v>
      </c>
      <c r="C35" s="6" t="s">
        <v>41</v>
      </c>
      <c r="D35" s="6" t="s">
        <v>46</v>
      </c>
      <c r="E35" s="6" t="s">
        <v>26</v>
      </c>
      <c r="F35" s="6" t="s">
        <v>57</v>
      </c>
      <c r="G35" s="6">
        <v>2015</v>
      </c>
      <c r="H35" s="6" t="str">
        <f>CONCATENATE("54745374048")</f>
        <v>54745374048</v>
      </c>
      <c r="I35" s="6" t="s">
        <v>33</v>
      </c>
      <c r="J35" s="6" t="s">
        <v>28</v>
      </c>
      <c r="K35" s="6" t="str">
        <f>CONCATENATE("211")</f>
        <v>211</v>
      </c>
      <c r="L35" s="6" t="str">
        <f>CONCATENATE("13 13.1 4a")</f>
        <v>13 13.1 4a</v>
      </c>
      <c r="M35" s="6" t="str">
        <f>CONCATENATE("MRUSVT68R14A978E")</f>
        <v>MRUSVT68R14A978E</v>
      </c>
      <c r="N35" s="6" t="s">
        <v>108</v>
      </c>
      <c r="O35" s="6" t="s">
        <v>49</v>
      </c>
      <c r="P35" s="7">
        <v>42696</v>
      </c>
      <c r="Q35" s="6" t="s">
        <v>29</v>
      </c>
      <c r="R35" s="6" t="s">
        <v>30</v>
      </c>
      <c r="S35" s="6" t="s">
        <v>31</v>
      </c>
      <c r="T35" s="8">
        <v>7612.04</v>
      </c>
      <c r="U35" s="8">
        <v>3282.31</v>
      </c>
      <c r="V35" s="8">
        <v>3031.11</v>
      </c>
      <c r="W35" s="8">
        <v>1298.6199999999999</v>
      </c>
    </row>
    <row r="36" spans="1:23" ht="24.75" x14ac:dyDescent="0.25">
      <c r="A36" s="6" t="s">
        <v>24</v>
      </c>
      <c r="B36" s="6" t="s">
        <v>25</v>
      </c>
      <c r="C36" s="6" t="s">
        <v>41</v>
      </c>
      <c r="D36" s="6" t="s">
        <v>50</v>
      </c>
      <c r="E36" s="6" t="s">
        <v>32</v>
      </c>
      <c r="F36" s="6" t="s">
        <v>51</v>
      </c>
      <c r="G36" s="6">
        <v>2015</v>
      </c>
      <c r="H36" s="6" t="str">
        <f>CONCATENATE("54745300340")</f>
        <v>54745300340</v>
      </c>
      <c r="I36" s="6" t="s">
        <v>27</v>
      </c>
      <c r="J36" s="6" t="s">
        <v>28</v>
      </c>
      <c r="K36" s="6" t="str">
        <f>CONCATENATE("211")</f>
        <v>211</v>
      </c>
      <c r="L36" s="6" t="str">
        <f>CONCATENATE("13 13.1 4a")</f>
        <v>13 13.1 4a</v>
      </c>
      <c r="M36" s="6" t="str">
        <f>CONCATENATE("RVLMRA43B04H501Q")</f>
        <v>RVLMRA43B04H501Q</v>
      </c>
      <c r="N36" s="6" t="s">
        <v>109</v>
      </c>
      <c r="O36" s="6" t="s">
        <v>49</v>
      </c>
      <c r="P36" s="7">
        <v>42696</v>
      </c>
      <c r="Q36" s="6" t="s">
        <v>29</v>
      </c>
      <c r="R36" s="6" t="s">
        <v>30</v>
      </c>
      <c r="S36" s="6" t="s">
        <v>31</v>
      </c>
      <c r="T36" s="8">
        <v>6215.29</v>
      </c>
      <c r="U36" s="8">
        <v>2680.03</v>
      </c>
      <c r="V36" s="8">
        <v>2474.9299999999998</v>
      </c>
      <c r="W36" s="8">
        <v>1060.33</v>
      </c>
    </row>
    <row r="37" spans="1:23" ht="24.75" x14ac:dyDescent="0.25">
      <c r="A37" s="6" t="s">
        <v>24</v>
      </c>
      <c r="B37" s="6" t="s">
        <v>25</v>
      </c>
      <c r="C37" s="6" t="s">
        <v>41</v>
      </c>
      <c r="D37" s="6" t="s">
        <v>42</v>
      </c>
      <c r="E37" s="6" t="s">
        <v>38</v>
      </c>
      <c r="F37" s="6" t="s">
        <v>110</v>
      </c>
      <c r="G37" s="6">
        <v>2015</v>
      </c>
      <c r="H37" s="6" t="str">
        <f>CONCATENATE("54745408499")</f>
        <v>54745408499</v>
      </c>
      <c r="I37" s="6" t="s">
        <v>27</v>
      </c>
      <c r="J37" s="6" t="s">
        <v>28</v>
      </c>
      <c r="K37" s="6" t="str">
        <f>CONCATENATE("211")</f>
        <v>211</v>
      </c>
      <c r="L37" s="6" t="str">
        <f>CONCATENATE("13 13.1 4a")</f>
        <v>13 13.1 4a</v>
      </c>
      <c r="M37" s="6" t="str">
        <f>CONCATENATE("TNOTZN72S43L219R")</f>
        <v>TNOTZN72S43L219R</v>
      </c>
      <c r="N37" s="6" t="s">
        <v>111</v>
      </c>
      <c r="O37" s="6" t="s">
        <v>91</v>
      </c>
      <c r="P37" s="7">
        <v>42696</v>
      </c>
      <c r="Q37" s="6" t="s">
        <v>29</v>
      </c>
      <c r="R37" s="6" t="s">
        <v>30</v>
      </c>
      <c r="S37" s="6" t="s">
        <v>31</v>
      </c>
      <c r="T37" s="8">
        <v>2599.98</v>
      </c>
      <c r="U37" s="8">
        <v>1121.1099999999999</v>
      </c>
      <c r="V37" s="8">
        <v>1035.31</v>
      </c>
      <c r="W37" s="6">
        <v>443.56</v>
      </c>
    </row>
    <row r="38" spans="1:23" ht="24.75" x14ac:dyDescent="0.25">
      <c r="A38" s="6" t="s">
        <v>24</v>
      </c>
      <c r="B38" s="6" t="s">
        <v>25</v>
      </c>
      <c r="C38" s="6" t="s">
        <v>41</v>
      </c>
      <c r="D38" s="6" t="s">
        <v>62</v>
      </c>
      <c r="E38" s="6" t="s">
        <v>35</v>
      </c>
      <c r="F38" s="6" t="s">
        <v>112</v>
      </c>
      <c r="G38" s="6">
        <v>2014</v>
      </c>
      <c r="H38" s="6" t="str">
        <f>CONCATENATE("44715327506")</f>
        <v>44715327506</v>
      </c>
      <c r="I38" s="6" t="s">
        <v>33</v>
      </c>
      <c r="J38" s="6" t="s">
        <v>28</v>
      </c>
      <c r="K38" s="6" t="str">
        <f>CONCATENATE("214")</f>
        <v>214</v>
      </c>
      <c r="L38" s="6" t="str">
        <f>CONCATENATE("11 11.2 4b")</f>
        <v>11 11.2 4b</v>
      </c>
      <c r="M38" s="6" t="str">
        <f>CONCATENATE("CNGLGU59T30L728M")</f>
        <v>CNGLGU59T30L728M</v>
      </c>
      <c r="N38" s="6" t="s">
        <v>113</v>
      </c>
      <c r="O38" s="6" t="s">
        <v>64</v>
      </c>
      <c r="P38" s="7">
        <v>42696</v>
      </c>
      <c r="Q38" s="6" t="s">
        <v>29</v>
      </c>
      <c r="R38" s="6" t="s">
        <v>30</v>
      </c>
      <c r="S38" s="6" t="s">
        <v>31</v>
      </c>
      <c r="T38" s="6">
        <v>150.47999999999999</v>
      </c>
      <c r="U38" s="6">
        <v>64.89</v>
      </c>
      <c r="V38" s="6">
        <v>59.92</v>
      </c>
      <c r="W38" s="6">
        <v>25.67</v>
      </c>
    </row>
    <row r="39" spans="1:23" ht="24.75" x14ac:dyDescent="0.25">
      <c r="A39" s="6" t="s">
        <v>24</v>
      </c>
      <c r="B39" s="6" t="s">
        <v>25</v>
      </c>
      <c r="C39" s="6" t="s">
        <v>41</v>
      </c>
      <c r="D39" s="6" t="s">
        <v>46</v>
      </c>
      <c r="E39" s="6" t="s">
        <v>32</v>
      </c>
      <c r="F39" s="6" t="s">
        <v>114</v>
      </c>
      <c r="G39" s="6">
        <v>2014</v>
      </c>
      <c r="H39" s="6" t="str">
        <f>CONCATENATE("44715476055")</f>
        <v>44715476055</v>
      </c>
      <c r="I39" s="6" t="s">
        <v>27</v>
      </c>
      <c r="J39" s="6" t="s">
        <v>28</v>
      </c>
      <c r="K39" s="6" t="str">
        <f>CONCATENATE("214")</f>
        <v>214</v>
      </c>
      <c r="L39" s="6" t="str">
        <f>CONCATENATE("11 11.1 4b")</f>
        <v>11 11.1 4b</v>
      </c>
      <c r="M39" s="6" t="str">
        <f>CONCATENATE("MTTGDN71B24I643K")</f>
        <v>MTTGDN71B24I643K</v>
      </c>
      <c r="N39" s="6" t="s">
        <v>115</v>
      </c>
      <c r="O39" s="6" t="s">
        <v>64</v>
      </c>
      <c r="P39" s="7">
        <v>42696</v>
      </c>
      <c r="Q39" s="6" t="s">
        <v>29</v>
      </c>
      <c r="R39" s="6" t="s">
        <v>30</v>
      </c>
      <c r="S39" s="6" t="s">
        <v>31</v>
      </c>
      <c r="T39" s="8">
        <v>3473.55</v>
      </c>
      <c r="U39" s="8">
        <v>1497.79</v>
      </c>
      <c r="V39" s="8">
        <v>1383.17</v>
      </c>
      <c r="W39" s="6">
        <v>592.59</v>
      </c>
    </row>
    <row r="40" spans="1:23" ht="24.75" x14ac:dyDescent="0.25">
      <c r="A40" s="6" t="s">
        <v>24</v>
      </c>
      <c r="B40" s="6" t="s">
        <v>25</v>
      </c>
      <c r="C40" s="6" t="s">
        <v>41</v>
      </c>
      <c r="D40" s="6" t="s">
        <v>50</v>
      </c>
      <c r="E40" s="6" t="s">
        <v>34</v>
      </c>
      <c r="F40" s="6" t="s">
        <v>97</v>
      </c>
      <c r="G40" s="6">
        <v>2014</v>
      </c>
      <c r="H40" s="6" t="str">
        <f>CONCATENATE("44715866750")</f>
        <v>44715866750</v>
      </c>
      <c r="I40" s="6" t="s">
        <v>27</v>
      </c>
      <c r="J40" s="6" t="s">
        <v>28</v>
      </c>
      <c r="K40" s="6" t="str">
        <f>CONCATENATE("214")</f>
        <v>214</v>
      </c>
      <c r="L40" s="6" t="str">
        <f>CONCATENATE("11 11.1 4b")</f>
        <v>11 11.1 4b</v>
      </c>
      <c r="M40" s="6" t="str">
        <f>CONCATENATE("RTNFNC83R25I156R")</f>
        <v>RTNFNC83R25I156R</v>
      </c>
      <c r="N40" s="6" t="s">
        <v>116</v>
      </c>
      <c r="O40" s="6" t="s">
        <v>117</v>
      </c>
      <c r="P40" s="7">
        <v>42073</v>
      </c>
      <c r="Q40" s="6" t="s">
        <v>29</v>
      </c>
      <c r="R40" s="6" t="s">
        <v>30</v>
      </c>
      <c r="S40" s="6" t="s">
        <v>31</v>
      </c>
      <c r="T40" s="6">
        <v>555.02</v>
      </c>
      <c r="U40" s="6">
        <v>239.32</v>
      </c>
      <c r="V40" s="6">
        <v>221.01</v>
      </c>
      <c r="W40" s="6">
        <v>94.69</v>
      </c>
    </row>
    <row r="41" spans="1:23" ht="24.75" x14ac:dyDescent="0.25">
      <c r="A41" s="6" t="s">
        <v>24</v>
      </c>
      <c r="B41" s="6" t="s">
        <v>25</v>
      </c>
      <c r="C41" s="6" t="s">
        <v>41</v>
      </c>
      <c r="D41" s="6" t="s">
        <v>46</v>
      </c>
      <c r="E41" s="6" t="s">
        <v>32</v>
      </c>
      <c r="F41" s="6" t="s">
        <v>67</v>
      </c>
      <c r="G41" s="6">
        <v>2015</v>
      </c>
      <c r="H41" s="6" t="str">
        <f>CONCATENATE("54745092962")</f>
        <v>54745092962</v>
      </c>
      <c r="I41" s="6" t="s">
        <v>33</v>
      </c>
      <c r="J41" s="6" t="s">
        <v>28</v>
      </c>
      <c r="K41" s="6" t="str">
        <f>CONCATENATE("211")</f>
        <v>211</v>
      </c>
      <c r="L41" s="6" t="str">
        <f>CONCATENATE("13 13.1 4a")</f>
        <v>13 13.1 4a</v>
      </c>
      <c r="M41" s="6" t="str">
        <f>CONCATENATE("SRVDVD34L15F347N")</f>
        <v>SRVDVD34L15F347N</v>
      </c>
      <c r="N41" s="6" t="s">
        <v>118</v>
      </c>
      <c r="O41" s="6" t="s">
        <v>49</v>
      </c>
      <c r="P41" s="7">
        <v>42696</v>
      </c>
      <c r="Q41" s="6" t="s">
        <v>29</v>
      </c>
      <c r="R41" s="6" t="s">
        <v>30</v>
      </c>
      <c r="S41" s="6" t="s">
        <v>31</v>
      </c>
      <c r="T41" s="8">
        <v>2137.58</v>
      </c>
      <c r="U41" s="6">
        <v>921.72</v>
      </c>
      <c r="V41" s="6">
        <v>851.18</v>
      </c>
      <c r="W41" s="6">
        <v>364.68</v>
      </c>
    </row>
    <row r="42" spans="1:23" ht="24.75" x14ac:dyDescent="0.25">
      <c r="A42" s="6" t="s">
        <v>24</v>
      </c>
      <c r="B42" s="6" t="s">
        <v>25</v>
      </c>
      <c r="C42" s="6" t="s">
        <v>41</v>
      </c>
      <c r="D42" s="6" t="s">
        <v>46</v>
      </c>
      <c r="E42" s="6" t="s">
        <v>32</v>
      </c>
      <c r="F42" s="6" t="s">
        <v>67</v>
      </c>
      <c r="G42" s="6">
        <v>2015</v>
      </c>
      <c r="H42" s="6" t="str">
        <f>CONCATENATE("54745091253")</f>
        <v>54745091253</v>
      </c>
      <c r="I42" s="6" t="s">
        <v>33</v>
      </c>
      <c r="J42" s="6" t="s">
        <v>28</v>
      </c>
      <c r="K42" s="6" t="str">
        <f>CONCATENATE("211")</f>
        <v>211</v>
      </c>
      <c r="L42" s="6" t="str">
        <f>CONCATENATE("13 13.1 4a")</f>
        <v>13 13.1 4a</v>
      </c>
      <c r="M42" s="6" t="str">
        <f>CONCATENATE("LGINGL40A30I461B")</f>
        <v>LGINGL40A30I461B</v>
      </c>
      <c r="N42" s="6" t="s">
        <v>119</v>
      </c>
      <c r="O42" s="6" t="s">
        <v>49</v>
      </c>
      <c r="P42" s="7">
        <v>42696</v>
      </c>
      <c r="Q42" s="6" t="s">
        <v>29</v>
      </c>
      <c r="R42" s="6" t="s">
        <v>30</v>
      </c>
      <c r="S42" s="6" t="s">
        <v>31</v>
      </c>
      <c r="T42" s="8">
        <v>5558.68</v>
      </c>
      <c r="U42" s="8">
        <v>2396.9</v>
      </c>
      <c r="V42" s="8">
        <v>2213.4699999999998</v>
      </c>
      <c r="W42" s="6">
        <v>948.31</v>
      </c>
    </row>
    <row r="43" spans="1:23" ht="24.75" x14ac:dyDescent="0.25">
      <c r="A43" s="6" t="s">
        <v>24</v>
      </c>
      <c r="B43" s="6" t="s">
        <v>36</v>
      </c>
      <c r="C43" s="6" t="s">
        <v>41</v>
      </c>
      <c r="D43" s="6" t="s">
        <v>50</v>
      </c>
      <c r="E43" s="6" t="s">
        <v>39</v>
      </c>
      <c r="F43" s="6" t="s">
        <v>39</v>
      </c>
      <c r="G43" s="6">
        <v>2008</v>
      </c>
      <c r="H43" s="6" t="str">
        <f>CONCATENATE("84758387512")</f>
        <v>84758387512</v>
      </c>
      <c r="I43" s="6" t="s">
        <v>27</v>
      </c>
      <c r="J43" s="6" t="s">
        <v>28</v>
      </c>
      <c r="K43" s="6" t="str">
        <f>CONCATENATE("111")</f>
        <v>111</v>
      </c>
      <c r="L43" s="6" t="str">
        <f>CONCATENATE("1 1.2 2a")</f>
        <v>1 1.2 2a</v>
      </c>
      <c r="M43" s="6" t="str">
        <f>CONCATENATE("80003760438")</f>
        <v>80003760438</v>
      </c>
      <c r="N43" s="6" t="s">
        <v>120</v>
      </c>
      <c r="O43" s="6" t="s">
        <v>121</v>
      </c>
      <c r="P43" s="7">
        <v>42696</v>
      </c>
      <c r="Q43" s="6" t="s">
        <v>29</v>
      </c>
      <c r="R43" s="6" t="s">
        <v>30</v>
      </c>
      <c r="S43" s="6" t="s">
        <v>31</v>
      </c>
      <c r="T43" s="8">
        <v>26731.05</v>
      </c>
      <c r="U43" s="8">
        <v>11526.43</v>
      </c>
      <c r="V43" s="8">
        <v>10644.3</v>
      </c>
      <c r="W43" s="8">
        <v>4560.32</v>
      </c>
    </row>
    <row r="44" spans="1:23" ht="24.75" x14ac:dyDescent="0.25">
      <c r="A44" s="6" t="s">
        <v>24</v>
      </c>
      <c r="B44" s="6" t="s">
        <v>25</v>
      </c>
      <c r="C44" s="6" t="s">
        <v>41</v>
      </c>
      <c r="D44" s="6" t="s">
        <v>46</v>
      </c>
      <c r="E44" s="6" t="s">
        <v>26</v>
      </c>
      <c r="F44" s="6" t="s">
        <v>122</v>
      </c>
      <c r="G44" s="6">
        <v>2014</v>
      </c>
      <c r="H44" s="6" t="str">
        <f>CONCATENATE("44715739338")</f>
        <v>44715739338</v>
      </c>
      <c r="I44" s="6" t="s">
        <v>27</v>
      </c>
      <c r="J44" s="6" t="s">
        <v>28</v>
      </c>
      <c r="K44" s="6" t="str">
        <f>CONCATENATE("214")</f>
        <v>214</v>
      </c>
      <c r="L44" s="6" t="str">
        <f>CONCATENATE("11 11.2 4b")</f>
        <v>11 11.2 4b</v>
      </c>
      <c r="M44" s="6" t="str">
        <f>CONCATENATE("LSCNRT63T71A271O")</f>
        <v>LSCNRT63T71A271O</v>
      </c>
      <c r="N44" s="6" t="s">
        <v>123</v>
      </c>
      <c r="O44" s="6" t="s">
        <v>64</v>
      </c>
      <c r="P44" s="7">
        <v>42696</v>
      </c>
      <c r="Q44" s="6" t="s">
        <v>29</v>
      </c>
      <c r="R44" s="6" t="s">
        <v>30</v>
      </c>
      <c r="S44" s="6" t="s">
        <v>31</v>
      </c>
      <c r="T44" s="8">
        <v>1250.7</v>
      </c>
      <c r="U44" s="6">
        <v>539.29999999999995</v>
      </c>
      <c r="V44" s="6">
        <v>498.03</v>
      </c>
      <c r="W44" s="6">
        <v>213.37</v>
      </c>
    </row>
    <row r="45" spans="1:23" ht="24.75" x14ac:dyDescent="0.25">
      <c r="A45" s="6" t="s">
        <v>24</v>
      </c>
      <c r="B45" s="6" t="s">
        <v>25</v>
      </c>
      <c r="C45" s="6" t="s">
        <v>41</v>
      </c>
      <c r="D45" s="6" t="s">
        <v>46</v>
      </c>
      <c r="E45" s="6" t="s">
        <v>26</v>
      </c>
      <c r="F45" s="6" t="s">
        <v>57</v>
      </c>
      <c r="G45" s="6">
        <v>2015</v>
      </c>
      <c r="H45" s="6" t="str">
        <f>CONCATENATE("54715680812")</f>
        <v>54715680812</v>
      </c>
      <c r="I45" s="6" t="s">
        <v>27</v>
      </c>
      <c r="J45" s="6" t="s">
        <v>28</v>
      </c>
      <c r="K45" s="6" t="str">
        <f>CONCATENATE("214")</f>
        <v>214</v>
      </c>
      <c r="L45" s="6" t="str">
        <f>CONCATENATE("10 10.1 4a")</f>
        <v>10 10.1 4a</v>
      </c>
      <c r="M45" s="6" t="str">
        <f>CONCATENATE("CSTLGN53R09A366T")</f>
        <v>CSTLGN53R09A366T</v>
      </c>
      <c r="N45" s="6" t="s">
        <v>58</v>
      </c>
      <c r="O45" s="6" t="s">
        <v>59</v>
      </c>
      <c r="P45" s="7">
        <v>42696</v>
      </c>
      <c r="Q45" s="6" t="s">
        <v>29</v>
      </c>
      <c r="R45" s="6" t="s">
        <v>30</v>
      </c>
      <c r="S45" s="6" t="s">
        <v>31</v>
      </c>
      <c r="T45" s="6">
        <v>46.2</v>
      </c>
      <c r="U45" s="6">
        <v>19.920000000000002</v>
      </c>
      <c r="V45" s="6">
        <v>18.399999999999999</v>
      </c>
      <c r="W45" s="6">
        <v>7.88</v>
      </c>
    </row>
    <row r="46" spans="1:23" ht="24.75" x14ac:dyDescent="0.25">
      <c r="A46" s="6" t="s">
        <v>24</v>
      </c>
      <c r="B46" s="6" t="s">
        <v>25</v>
      </c>
      <c r="C46" s="6" t="s">
        <v>41</v>
      </c>
      <c r="D46" s="6" t="s">
        <v>50</v>
      </c>
      <c r="E46" s="6" t="s">
        <v>32</v>
      </c>
      <c r="F46" s="6" t="s">
        <v>72</v>
      </c>
      <c r="G46" s="6">
        <v>2014</v>
      </c>
      <c r="H46" s="6" t="str">
        <f>CONCATENATE("44715312060")</f>
        <v>44715312060</v>
      </c>
      <c r="I46" s="6" t="s">
        <v>27</v>
      </c>
      <c r="J46" s="6" t="s">
        <v>28</v>
      </c>
      <c r="K46" s="6" t="str">
        <f>CONCATENATE("214")</f>
        <v>214</v>
      </c>
      <c r="L46" s="6" t="str">
        <f>CONCATENATE("11 11.2 4b")</f>
        <v>11 11.2 4b</v>
      </c>
      <c r="M46" s="6" t="str">
        <f>CONCATENATE("BGGMRZ45C26I436H")</f>
        <v>BGGMRZ45C26I436H</v>
      </c>
      <c r="N46" s="6" t="s">
        <v>124</v>
      </c>
      <c r="O46" s="6" t="s">
        <v>85</v>
      </c>
      <c r="P46" s="7">
        <v>42220</v>
      </c>
      <c r="Q46" s="6" t="s">
        <v>29</v>
      </c>
      <c r="R46" s="6" t="s">
        <v>30</v>
      </c>
      <c r="S46" s="6" t="s">
        <v>31</v>
      </c>
      <c r="T46" s="6">
        <v>642.67999999999995</v>
      </c>
      <c r="U46" s="6">
        <v>277.12</v>
      </c>
      <c r="V46" s="6">
        <v>255.92</v>
      </c>
      <c r="W46" s="6">
        <v>109.64</v>
      </c>
    </row>
    <row r="47" spans="1:23" ht="24.75" x14ac:dyDescent="0.25">
      <c r="A47" s="6" t="s">
        <v>24</v>
      </c>
      <c r="B47" s="6" t="s">
        <v>36</v>
      </c>
      <c r="C47" s="6" t="s">
        <v>41</v>
      </c>
      <c r="D47" s="6" t="s">
        <v>50</v>
      </c>
      <c r="E47" s="6" t="s">
        <v>39</v>
      </c>
      <c r="F47" s="6" t="s">
        <v>39</v>
      </c>
      <c r="G47" s="6">
        <v>2008</v>
      </c>
      <c r="H47" s="6" t="str">
        <f>CONCATENATE("84758379063")</f>
        <v>84758379063</v>
      </c>
      <c r="I47" s="6" t="s">
        <v>27</v>
      </c>
      <c r="J47" s="6" t="s">
        <v>28</v>
      </c>
      <c r="K47" s="6" t="str">
        <f>CONCATENATE("121")</f>
        <v>121</v>
      </c>
      <c r="L47" s="6" t="str">
        <f>CONCATENATE("4 4.1 2a")</f>
        <v>4 4.1 2a</v>
      </c>
      <c r="M47" s="6" t="str">
        <f>CONCATENATE("FRTSMN77S18E783D")</f>
        <v>FRTSMN77S18E783D</v>
      </c>
      <c r="N47" s="6" t="s">
        <v>95</v>
      </c>
      <c r="O47" s="6" t="s">
        <v>125</v>
      </c>
      <c r="P47" s="7">
        <v>42353</v>
      </c>
      <c r="Q47" s="6" t="s">
        <v>29</v>
      </c>
      <c r="R47" s="6" t="s">
        <v>30</v>
      </c>
      <c r="S47" s="6" t="s">
        <v>31</v>
      </c>
      <c r="T47" s="8">
        <v>54371.83</v>
      </c>
      <c r="U47" s="8">
        <v>23445.13</v>
      </c>
      <c r="V47" s="8">
        <v>21650.86</v>
      </c>
      <c r="W47" s="8">
        <v>9275.84</v>
      </c>
    </row>
    <row r="48" spans="1:23" ht="24.75" x14ac:dyDescent="0.25">
      <c r="A48" s="6" t="s">
        <v>24</v>
      </c>
      <c r="B48" s="6" t="s">
        <v>25</v>
      </c>
      <c r="C48" s="6" t="s">
        <v>41</v>
      </c>
      <c r="D48" s="6" t="s">
        <v>50</v>
      </c>
      <c r="E48" s="6" t="s">
        <v>26</v>
      </c>
      <c r="F48" s="6" t="s">
        <v>94</v>
      </c>
      <c r="G48" s="6">
        <v>2014</v>
      </c>
      <c r="H48" s="6" t="str">
        <f>CONCATENATE("44715239891")</f>
        <v>44715239891</v>
      </c>
      <c r="I48" s="6" t="s">
        <v>27</v>
      </c>
      <c r="J48" s="6" t="s">
        <v>28</v>
      </c>
      <c r="K48" s="6" t="str">
        <f>CONCATENATE("214")</f>
        <v>214</v>
      </c>
      <c r="L48" s="6" t="str">
        <f>CONCATENATE("11 11.2 4b")</f>
        <v>11 11.2 4b</v>
      </c>
      <c r="M48" s="6" t="str">
        <f>CONCATENATE("FRTSMN77S18E783D")</f>
        <v>FRTSMN77S18E783D</v>
      </c>
      <c r="N48" s="6" t="s">
        <v>95</v>
      </c>
      <c r="O48" s="6" t="s">
        <v>79</v>
      </c>
      <c r="P48" s="7">
        <v>42312</v>
      </c>
      <c r="Q48" s="6" t="s">
        <v>29</v>
      </c>
      <c r="R48" s="6" t="s">
        <v>30</v>
      </c>
      <c r="S48" s="6" t="s">
        <v>31</v>
      </c>
      <c r="T48" s="8">
        <v>12832.31</v>
      </c>
      <c r="U48" s="8">
        <v>5533.29</v>
      </c>
      <c r="V48" s="8">
        <v>5109.83</v>
      </c>
      <c r="W48" s="8">
        <v>2189.19</v>
      </c>
    </row>
    <row r="49" spans="1:23" ht="24.75" x14ac:dyDescent="0.25">
      <c r="A49" s="6" t="s">
        <v>24</v>
      </c>
      <c r="B49" s="6" t="s">
        <v>25</v>
      </c>
      <c r="C49" s="6" t="s">
        <v>41</v>
      </c>
      <c r="D49" s="6" t="s">
        <v>62</v>
      </c>
      <c r="E49" s="6" t="s">
        <v>32</v>
      </c>
      <c r="F49" s="6" t="s">
        <v>126</v>
      </c>
      <c r="G49" s="6">
        <v>2014</v>
      </c>
      <c r="H49" s="6" t="str">
        <f>CONCATENATE("44715568547")</f>
        <v>44715568547</v>
      </c>
      <c r="I49" s="6" t="s">
        <v>27</v>
      </c>
      <c r="J49" s="6" t="s">
        <v>28</v>
      </c>
      <c r="K49" s="6" t="str">
        <f>CONCATENATE("214")</f>
        <v>214</v>
      </c>
      <c r="L49" s="6" t="str">
        <f>CONCATENATE("11 11.1 4b - 11 11.2 4b")</f>
        <v>11 11.1 4b - 11 11.2 4b</v>
      </c>
      <c r="M49" s="6" t="str">
        <f>CONCATENATE("ZZICRL37C11I774T")</f>
        <v>ZZICRL37C11I774T</v>
      </c>
      <c r="N49" s="6" t="s">
        <v>127</v>
      </c>
      <c r="O49" s="6" t="s">
        <v>64</v>
      </c>
      <c r="P49" s="7">
        <v>42696</v>
      </c>
      <c r="Q49" s="6" t="s">
        <v>29</v>
      </c>
      <c r="R49" s="6" t="s">
        <v>30</v>
      </c>
      <c r="S49" s="6" t="s">
        <v>31</v>
      </c>
      <c r="T49" s="8">
        <v>1283.54</v>
      </c>
      <c r="U49" s="6">
        <v>553.46</v>
      </c>
      <c r="V49" s="6">
        <v>511.11</v>
      </c>
      <c r="W49" s="6">
        <v>218.97</v>
      </c>
    </row>
    <row r="50" spans="1:23" ht="24.75" x14ac:dyDescent="0.25">
      <c r="A50" s="6" t="s">
        <v>24</v>
      </c>
      <c r="B50" s="6" t="s">
        <v>25</v>
      </c>
      <c r="C50" s="6" t="s">
        <v>41</v>
      </c>
      <c r="D50" s="6" t="s">
        <v>42</v>
      </c>
      <c r="E50" s="6" t="s">
        <v>26</v>
      </c>
      <c r="F50" s="6" t="s">
        <v>83</v>
      </c>
      <c r="G50" s="6">
        <v>2014</v>
      </c>
      <c r="H50" s="6" t="str">
        <f>CONCATENATE("44715549422")</f>
        <v>44715549422</v>
      </c>
      <c r="I50" s="6" t="s">
        <v>27</v>
      </c>
      <c r="J50" s="6" t="s">
        <v>28</v>
      </c>
      <c r="K50" s="6" t="str">
        <f>CONCATENATE("214")</f>
        <v>214</v>
      </c>
      <c r="L50" s="6" t="str">
        <f>CONCATENATE("11 11.2 4b")</f>
        <v>11 11.2 4b</v>
      </c>
      <c r="M50" s="6" t="str">
        <f>CONCATENATE("MSCJSC91B52L500R")</f>
        <v>MSCJSC91B52L500R</v>
      </c>
      <c r="N50" s="6" t="s">
        <v>84</v>
      </c>
      <c r="O50" s="6" t="s">
        <v>85</v>
      </c>
      <c r="P50" s="7">
        <v>42220</v>
      </c>
      <c r="Q50" s="6" t="s">
        <v>29</v>
      </c>
      <c r="R50" s="6" t="s">
        <v>30</v>
      </c>
      <c r="S50" s="6" t="s">
        <v>31</v>
      </c>
      <c r="T50" s="6">
        <v>374.99</v>
      </c>
      <c r="U50" s="6">
        <v>161.69999999999999</v>
      </c>
      <c r="V50" s="6">
        <v>149.32</v>
      </c>
      <c r="W50" s="6">
        <v>63.97</v>
      </c>
    </row>
    <row r="51" spans="1:23" ht="24.75" x14ac:dyDescent="0.25">
      <c r="A51" s="6" t="s">
        <v>24</v>
      </c>
      <c r="B51" s="6" t="s">
        <v>25</v>
      </c>
      <c r="C51" s="6" t="s">
        <v>41</v>
      </c>
      <c r="D51" s="6" t="s">
        <v>50</v>
      </c>
      <c r="E51" s="6" t="s">
        <v>37</v>
      </c>
      <c r="F51" s="6" t="s">
        <v>128</v>
      </c>
      <c r="G51" s="6">
        <v>2015</v>
      </c>
      <c r="H51" s="6" t="str">
        <f>CONCATENATE("54715351356")</f>
        <v>54715351356</v>
      </c>
      <c r="I51" s="6" t="s">
        <v>27</v>
      </c>
      <c r="J51" s="6" t="s">
        <v>28</v>
      </c>
      <c r="K51" s="6" t="str">
        <f>CONCATENATE("214")</f>
        <v>214</v>
      </c>
      <c r="L51" s="6" t="str">
        <f>CONCATENATE("11 11.2 4b")</f>
        <v>11 11.2 4b</v>
      </c>
      <c r="M51" s="6" t="str">
        <f>CONCATENATE("CLMPLG62P24F567B")</f>
        <v>CLMPLG62P24F567B</v>
      </c>
      <c r="N51" s="6" t="s">
        <v>129</v>
      </c>
      <c r="O51" s="6" t="s">
        <v>130</v>
      </c>
      <c r="P51" s="7">
        <v>42500</v>
      </c>
      <c r="Q51" s="6" t="s">
        <v>29</v>
      </c>
      <c r="R51" s="6" t="s">
        <v>30</v>
      </c>
      <c r="S51" s="6" t="s">
        <v>31</v>
      </c>
      <c r="T51" s="8">
        <v>12172.53</v>
      </c>
      <c r="U51" s="8">
        <v>5248.79</v>
      </c>
      <c r="V51" s="8">
        <v>4847.1000000000004</v>
      </c>
      <c r="W51" s="8">
        <v>2076.64</v>
      </c>
    </row>
    <row r="52" spans="1:23" ht="24.75" x14ac:dyDescent="0.25">
      <c r="A52" s="6" t="s">
        <v>24</v>
      </c>
      <c r="B52" s="6" t="s">
        <v>36</v>
      </c>
      <c r="C52" s="6" t="s">
        <v>41</v>
      </c>
      <c r="D52" s="6" t="s">
        <v>62</v>
      </c>
      <c r="E52" s="6" t="s">
        <v>39</v>
      </c>
      <c r="F52" s="6" t="s">
        <v>39</v>
      </c>
      <c r="G52" s="6">
        <v>2008</v>
      </c>
      <c r="H52" s="6" t="str">
        <f>CONCATENATE("84758377612")</f>
        <v>84758377612</v>
      </c>
      <c r="I52" s="6" t="s">
        <v>27</v>
      </c>
      <c r="J52" s="6" t="s">
        <v>28</v>
      </c>
      <c r="K52" s="6" t="str">
        <f>CONCATENATE("121")</f>
        <v>121</v>
      </c>
      <c r="L52" s="6" t="str">
        <f>CONCATENATE("4 4.1 2a")</f>
        <v>4 4.1 2a</v>
      </c>
      <c r="M52" s="6" t="str">
        <f>CONCATENATE("SLLMLS74B42G920R")</f>
        <v>SLLMLS74B42G920R</v>
      </c>
      <c r="N52" s="6" t="s">
        <v>131</v>
      </c>
      <c r="O52" s="6" t="s">
        <v>132</v>
      </c>
      <c r="P52" s="7">
        <v>42696</v>
      </c>
      <c r="Q52" s="6" t="s">
        <v>29</v>
      </c>
      <c r="R52" s="6" t="s">
        <v>30</v>
      </c>
      <c r="S52" s="6" t="s">
        <v>31</v>
      </c>
      <c r="T52" s="8">
        <v>25929.77</v>
      </c>
      <c r="U52" s="8">
        <v>11180.92</v>
      </c>
      <c r="V52" s="8">
        <v>10325.23</v>
      </c>
      <c r="W52" s="8">
        <v>4423.62</v>
      </c>
    </row>
    <row r="53" spans="1:23" ht="24.75" x14ac:dyDescent="0.25">
      <c r="A53" s="6" t="s">
        <v>24</v>
      </c>
      <c r="B53" s="6" t="s">
        <v>25</v>
      </c>
      <c r="C53" s="6" t="s">
        <v>41</v>
      </c>
      <c r="D53" s="6" t="s">
        <v>46</v>
      </c>
      <c r="E53" s="6" t="s">
        <v>38</v>
      </c>
      <c r="F53" s="6" t="s">
        <v>133</v>
      </c>
      <c r="G53" s="6">
        <v>2015</v>
      </c>
      <c r="H53" s="6" t="str">
        <f>CONCATENATE("54745184181")</f>
        <v>54745184181</v>
      </c>
      <c r="I53" s="6" t="s">
        <v>33</v>
      </c>
      <c r="J53" s="6" t="s">
        <v>28</v>
      </c>
      <c r="K53" s="6" t="str">
        <f>CONCATENATE("211")</f>
        <v>211</v>
      </c>
      <c r="L53" s="6" t="str">
        <f>CONCATENATE("13 13.1 4a")</f>
        <v>13 13.1 4a</v>
      </c>
      <c r="M53" s="6" t="str">
        <f>CONCATENATE("MNCVBR60D02I461U")</f>
        <v>MNCVBR60D02I461U</v>
      </c>
      <c r="N53" s="6" t="s">
        <v>134</v>
      </c>
      <c r="O53" s="6" t="s">
        <v>49</v>
      </c>
      <c r="P53" s="7">
        <v>42696</v>
      </c>
      <c r="Q53" s="6" t="s">
        <v>29</v>
      </c>
      <c r="R53" s="6" t="s">
        <v>30</v>
      </c>
      <c r="S53" s="6" t="s">
        <v>31</v>
      </c>
      <c r="T53" s="8">
        <v>5241.24</v>
      </c>
      <c r="U53" s="8">
        <v>2260.02</v>
      </c>
      <c r="V53" s="8">
        <v>2087.06</v>
      </c>
      <c r="W53" s="6">
        <v>894.16</v>
      </c>
    </row>
    <row r="54" spans="1:23" ht="24.75" x14ac:dyDescent="0.25">
      <c r="A54" s="6" t="s">
        <v>24</v>
      </c>
      <c r="B54" s="6" t="s">
        <v>25</v>
      </c>
      <c r="C54" s="6" t="s">
        <v>41</v>
      </c>
      <c r="D54" s="6" t="s">
        <v>42</v>
      </c>
      <c r="E54" s="6" t="s">
        <v>26</v>
      </c>
      <c r="F54" s="6" t="s">
        <v>83</v>
      </c>
      <c r="G54" s="6">
        <v>2015</v>
      </c>
      <c r="H54" s="6" t="str">
        <f>CONCATENATE("54745351178")</f>
        <v>54745351178</v>
      </c>
      <c r="I54" s="6" t="s">
        <v>33</v>
      </c>
      <c r="J54" s="6" t="s">
        <v>28</v>
      </c>
      <c r="K54" s="6" t="str">
        <f>CONCATENATE("211")</f>
        <v>211</v>
      </c>
      <c r="L54" s="6" t="str">
        <f>CONCATENATE("13 13.1 4a")</f>
        <v>13 13.1 4a</v>
      </c>
      <c r="M54" s="6" t="str">
        <f>CONCATENATE("TNTMCL68S13D749B")</f>
        <v>TNTMCL68S13D749B</v>
      </c>
      <c r="N54" s="6" t="s">
        <v>135</v>
      </c>
      <c r="O54" s="6" t="s">
        <v>91</v>
      </c>
      <c r="P54" s="7">
        <v>42696</v>
      </c>
      <c r="Q54" s="6" t="s">
        <v>29</v>
      </c>
      <c r="R54" s="6" t="s">
        <v>30</v>
      </c>
      <c r="S54" s="6" t="s">
        <v>31</v>
      </c>
      <c r="T54" s="8">
        <v>6787.9</v>
      </c>
      <c r="U54" s="8">
        <v>2926.94</v>
      </c>
      <c r="V54" s="8">
        <v>2702.94</v>
      </c>
      <c r="W54" s="8">
        <v>1158.02</v>
      </c>
    </row>
    <row r="55" spans="1:23" ht="24.75" x14ac:dyDescent="0.25">
      <c r="A55" s="6" t="s">
        <v>24</v>
      </c>
      <c r="B55" s="6" t="s">
        <v>25</v>
      </c>
      <c r="C55" s="6" t="s">
        <v>41</v>
      </c>
      <c r="D55" s="6" t="s">
        <v>46</v>
      </c>
      <c r="E55" s="6" t="s">
        <v>26</v>
      </c>
      <c r="F55" s="6" t="s">
        <v>57</v>
      </c>
      <c r="G55" s="6">
        <v>2015</v>
      </c>
      <c r="H55" s="6" t="str">
        <f>CONCATENATE("54715468515")</f>
        <v>54715468515</v>
      </c>
      <c r="I55" s="6" t="s">
        <v>27</v>
      </c>
      <c r="J55" s="6" t="s">
        <v>28</v>
      </c>
      <c r="K55" s="6" t="str">
        <f>CONCATENATE("214")</f>
        <v>214</v>
      </c>
      <c r="L55" s="6" t="str">
        <f>CONCATENATE("11 11.2 4b")</f>
        <v>11 11.2 4b</v>
      </c>
      <c r="M55" s="6" t="str">
        <f>CONCATENATE("SCHHBR55C27Z112Y")</f>
        <v>SCHHBR55C27Z112Y</v>
      </c>
      <c r="N55" s="6" t="s">
        <v>136</v>
      </c>
      <c r="O55" s="6" t="s">
        <v>59</v>
      </c>
      <c r="P55" s="7">
        <v>42696</v>
      </c>
      <c r="Q55" s="6" t="s">
        <v>29</v>
      </c>
      <c r="R55" s="6" t="s">
        <v>30</v>
      </c>
      <c r="S55" s="6" t="s">
        <v>31</v>
      </c>
      <c r="T55" s="6">
        <v>203.88</v>
      </c>
      <c r="U55" s="6">
        <v>87.91</v>
      </c>
      <c r="V55" s="6">
        <v>81.19</v>
      </c>
      <c r="W55" s="6">
        <v>34.78</v>
      </c>
    </row>
    <row r="56" spans="1:23" ht="24.75" x14ac:dyDescent="0.25">
      <c r="A56" s="6" t="s">
        <v>24</v>
      </c>
      <c r="B56" s="6" t="s">
        <v>25</v>
      </c>
      <c r="C56" s="6" t="s">
        <v>41</v>
      </c>
      <c r="D56" s="6" t="s">
        <v>62</v>
      </c>
      <c r="E56" s="6" t="s">
        <v>32</v>
      </c>
      <c r="F56" s="6" t="s">
        <v>126</v>
      </c>
      <c r="G56" s="6">
        <v>2014</v>
      </c>
      <c r="H56" s="6" t="str">
        <f>CONCATENATE("44715191662")</f>
        <v>44715191662</v>
      </c>
      <c r="I56" s="6" t="s">
        <v>27</v>
      </c>
      <c r="J56" s="6" t="s">
        <v>28</v>
      </c>
      <c r="K56" s="6" t="str">
        <f>CONCATENATE("214")</f>
        <v>214</v>
      </c>
      <c r="L56" s="6" t="str">
        <f>CONCATENATE("11 11.2 4b")</f>
        <v>11 11.2 4b</v>
      </c>
      <c r="M56" s="6" t="str">
        <f>CONCATENATE("PLNVCN49R14B727Q")</f>
        <v>PLNVCN49R14B727Q</v>
      </c>
      <c r="N56" s="6" t="s">
        <v>137</v>
      </c>
      <c r="O56" s="6" t="s">
        <v>64</v>
      </c>
      <c r="P56" s="7">
        <v>42696</v>
      </c>
      <c r="Q56" s="6" t="s">
        <v>29</v>
      </c>
      <c r="R56" s="6" t="s">
        <v>30</v>
      </c>
      <c r="S56" s="6" t="s">
        <v>31</v>
      </c>
      <c r="T56" s="8">
        <v>1967.29</v>
      </c>
      <c r="U56" s="6">
        <v>848.3</v>
      </c>
      <c r="V56" s="6">
        <v>783.37</v>
      </c>
      <c r="W56" s="6">
        <v>335.62</v>
      </c>
    </row>
    <row r="57" spans="1:23" ht="24.75" x14ac:dyDescent="0.25">
      <c r="A57" s="6" t="s">
        <v>24</v>
      </c>
      <c r="B57" s="6" t="s">
        <v>25</v>
      </c>
      <c r="C57" s="6" t="s">
        <v>41</v>
      </c>
      <c r="D57" s="6" t="s">
        <v>50</v>
      </c>
      <c r="E57" s="6" t="s">
        <v>34</v>
      </c>
      <c r="F57" s="6" t="s">
        <v>97</v>
      </c>
      <c r="G57" s="6">
        <v>2014</v>
      </c>
      <c r="H57" s="6" t="str">
        <f>CONCATENATE("44715866719")</f>
        <v>44715866719</v>
      </c>
      <c r="I57" s="6" t="s">
        <v>27</v>
      </c>
      <c r="J57" s="6" t="s">
        <v>28</v>
      </c>
      <c r="K57" s="6" t="str">
        <f>CONCATENATE("214")</f>
        <v>214</v>
      </c>
      <c r="L57" s="6" t="str">
        <f>CONCATENATE("11 11.2 4b")</f>
        <v>11 11.2 4b</v>
      </c>
      <c r="M57" s="6" t="str">
        <f>CONCATENATE("RTNFNC83R25I156R")</f>
        <v>RTNFNC83R25I156R</v>
      </c>
      <c r="N57" s="6" t="s">
        <v>116</v>
      </c>
      <c r="O57" s="6" t="s">
        <v>45</v>
      </c>
      <c r="P57" s="7">
        <v>42136</v>
      </c>
      <c r="Q57" s="6" t="s">
        <v>29</v>
      </c>
      <c r="R57" s="6" t="s">
        <v>30</v>
      </c>
      <c r="S57" s="6" t="s">
        <v>31</v>
      </c>
      <c r="T57" s="8">
        <v>2984.78</v>
      </c>
      <c r="U57" s="8">
        <v>1287.04</v>
      </c>
      <c r="V57" s="8">
        <v>1188.54</v>
      </c>
      <c r="W57" s="6">
        <v>509.2</v>
      </c>
    </row>
    <row r="58" spans="1:23" ht="24.75" x14ac:dyDescent="0.25">
      <c r="A58" s="6" t="s">
        <v>24</v>
      </c>
      <c r="B58" s="6" t="s">
        <v>25</v>
      </c>
      <c r="C58" s="6" t="s">
        <v>41</v>
      </c>
      <c r="D58" s="6" t="s">
        <v>50</v>
      </c>
      <c r="E58" s="6" t="s">
        <v>34</v>
      </c>
      <c r="F58" s="6" t="s">
        <v>97</v>
      </c>
      <c r="G58" s="6">
        <v>2015</v>
      </c>
      <c r="H58" s="6" t="str">
        <f>CONCATENATE("54715221070")</f>
        <v>54715221070</v>
      </c>
      <c r="I58" s="6" t="s">
        <v>27</v>
      </c>
      <c r="J58" s="6" t="s">
        <v>28</v>
      </c>
      <c r="K58" s="6" t="str">
        <f>CONCATENATE("214")</f>
        <v>214</v>
      </c>
      <c r="L58" s="6" t="str">
        <f>CONCATENATE("11 11.1 4b")</f>
        <v>11 11.1 4b</v>
      </c>
      <c r="M58" s="6" t="str">
        <f>CONCATENATE("BLZCLD68T17E783E")</f>
        <v>BLZCLD68T17E783E</v>
      </c>
      <c r="N58" s="6" t="s">
        <v>98</v>
      </c>
      <c r="O58" s="6" t="s">
        <v>74</v>
      </c>
      <c r="P58" s="7">
        <v>42545</v>
      </c>
      <c r="Q58" s="6" t="s">
        <v>29</v>
      </c>
      <c r="R58" s="6" t="s">
        <v>30</v>
      </c>
      <c r="S58" s="6" t="s">
        <v>31</v>
      </c>
      <c r="T58" s="8">
        <v>2232.9299999999998</v>
      </c>
      <c r="U58" s="6">
        <v>962.84</v>
      </c>
      <c r="V58" s="6">
        <v>889.15</v>
      </c>
      <c r="W58" s="6">
        <v>380.94</v>
      </c>
    </row>
    <row r="59" spans="1:23" ht="24.75" x14ac:dyDescent="0.25">
      <c r="A59" s="6" t="s">
        <v>24</v>
      </c>
      <c r="B59" s="6" t="s">
        <v>36</v>
      </c>
      <c r="C59" s="6" t="s">
        <v>41</v>
      </c>
      <c r="D59" s="6" t="s">
        <v>50</v>
      </c>
      <c r="E59" s="6" t="s">
        <v>39</v>
      </c>
      <c r="F59" s="6" t="s">
        <v>39</v>
      </c>
      <c r="G59" s="6">
        <v>2008</v>
      </c>
      <c r="H59" s="6" t="str">
        <f>CONCATENATE("84758354728")</f>
        <v>84758354728</v>
      </c>
      <c r="I59" s="6" t="s">
        <v>27</v>
      </c>
      <c r="J59" s="6" t="s">
        <v>28</v>
      </c>
      <c r="K59" s="6" t="str">
        <f>CONCATENATE("132")</f>
        <v>132</v>
      </c>
      <c r="L59" s="6" t="str">
        <f>CONCATENATE("3 3.1 3a")</f>
        <v>3 3.1 3a</v>
      </c>
      <c r="M59" s="6" t="str">
        <f>CONCATENATE("00348630435")</f>
        <v>00348630435</v>
      </c>
      <c r="N59" s="6" t="s">
        <v>138</v>
      </c>
      <c r="O59" s="6" t="s">
        <v>139</v>
      </c>
      <c r="P59" s="7">
        <v>42541</v>
      </c>
      <c r="Q59" s="6" t="s">
        <v>29</v>
      </c>
      <c r="R59" s="6" t="s">
        <v>30</v>
      </c>
      <c r="S59" s="6" t="s">
        <v>31</v>
      </c>
      <c r="T59" s="6">
        <v>143.6</v>
      </c>
      <c r="U59" s="6">
        <v>61.92</v>
      </c>
      <c r="V59" s="6">
        <v>57.18</v>
      </c>
      <c r="W59" s="6">
        <v>24.5</v>
      </c>
    </row>
    <row r="60" spans="1:23" ht="24.75" x14ac:dyDescent="0.25">
      <c r="A60" s="6" t="s">
        <v>24</v>
      </c>
      <c r="B60" s="6" t="s">
        <v>25</v>
      </c>
      <c r="C60" s="6" t="s">
        <v>41</v>
      </c>
      <c r="D60" s="6" t="s">
        <v>46</v>
      </c>
      <c r="E60" s="6" t="s">
        <v>32</v>
      </c>
      <c r="F60" s="6" t="s">
        <v>114</v>
      </c>
      <c r="G60" s="6">
        <v>2014</v>
      </c>
      <c r="H60" s="6" t="str">
        <f>CONCATENATE("44715475354")</f>
        <v>44715475354</v>
      </c>
      <c r="I60" s="6" t="s">
        <v>27</v>
      </c>
      <c r="J60" s="6" t="s">
        <v>28</v>
      </c>
      <c r="K60" s="6" t="str">
        <f>CONCATENATE("214")</f>
        <v>214</v>
      </c>
      <c r="L60" s="6" t="str">
        <f>CONCATENATE("11 11.1 4b")</f>
        <v>11 11.1 4b</v>
      </c>
      <c r="M60" s="6" t="str">
        <f>CONCATENATE("SCRLRT65R15D211H")</f>
        <v>SCRLRT65R15D211H</v>
      </c>
      <c r="N60" s="6" t="s">
        <v>140</v>
      </c>
      <c r="O60" s="6" t="s">
        <v>64</v>
      </c>
      <c r="P60" s="7">
        <v>42696</v>
      </c>
      <c r="Q60" s="6" t="s">
        <v>29</v>
      </c>
      <c r="R60" s="6" t="s">
        <v>30</v>
      </c>
      <c r="S60" s="6" t="s">
        <v>31</v>
      </c>
      <c r="T60" s="6">
        <v>82.31</v>
      </c>
      <c r="U60" s="6">
        <v>35.49</v>
      </c>
      <c r="V60" s="6">
        <v>32.78</v>
      </c>
      <c r="W60" s="6">
        <v>14.04</v>
      </c>
    </row>
    <row r="61" spans="1:23" ht="24.75" x14ac:dyDescent="0.25">
      <c r="A61" s="6" t="s">
        <v>24</v>
      </c>
      <c r="B61" s="6" t="s">
        <v>25</v>
      </c>
      <c r="C61" s="6" t="s">
        <v>41</v>
      </c>
      <c r="D61" s="6" t="s">
        <v>42</v>
      </c>
      <c r="E61" s="6" t="s">
        <v>34</v>
      </c>
      <c r="F61" s="6" t="s">
        <v>54</v>
      </c>
      <c r="G61" s="6">
        <v>2014</v>
      </c>
      <c r="H61" s="6" t="str">
        <f>CONCATENATE("44715837405")</f>
        <v>44715837405</v>
      </c>
      <c r="I61" s="6" t="s">
        <v>27</v>
      </c>
      <c r="J61" s="6" t="s">
        <v>28</v>
      </c>
      <c r="K61" s="6" t="str">
        <f>CONCATENATE("214")</f>
        <v>214</v>
      </c>
      <c r="L61" s="6" t="str">
        <f>CONCATENATE("11 11.2 4b")</f>
        <v>11 11.2 4b</v>
      </c>
      <c r="M61" s="6" t="str">
        <f>CONCATENATE("01329340416")</f>
        <v>01329340416</v>
      </c>
      <c r="N61" s="6" t="s">
        <v>55</v>
      </c>
      <c r="O61" s="6" t="s">
        <v>56</v>
      </c>
      <c r="P61" s="7">
        <v>42200</v>
      </c>
      <c r="Q61" s="6" t="s">
        <v>29</v>
      </c>
      <c r="R61" s="6" t="s">
        <v>30</v>
      </c>
      <c r="S61" s="6" t="s">
        <v>31</v>
      </c>
      <c r="T61" s="8">
        <v>1439.66</v>
      </c>
      <c r="U61" s="6">
        <v>620.78</v>
      </c>
      <c r="V61" s="6">
        <v>573.27</v>
      </c>
      <c r="W61" s="6">
        <v>245.61</v>
      </c>
    </row>
    <row r="62" spans="1:23" ht="24.75" x14ac:dyDescent="0.25">
      <c r="A62" s="6" t="s">
        <v>24</v>
      </c>
      <c r="B62" s="6" t="s">
        <v>25</v>
      </c>
      <c r="C62" s="6" t="s">
        <v>41</v>
      </c>
      <c r="D62" s="6" t="s">
        <v>42</v>
      </c>
      <c r="E62" s="6" t="s">
        <v>26</v>
      </c>
      <c r="F62" s="6" t="s">
        <v>141</v>
      </c>
      <c r="G62" s="6">
        <v>2015</v>
      </c>
      <c r="H62" s="6" t="str">
        <f>CONCATENATE("54745314804")</f>
        <v>54745314804</v>
      </c>
      <c r="I62" s="6" t="s">
        <v>33</v>
      </c>
      <c r="J62" s="6" t="s">
        <v>28</v>
      </c>
      <c r="K62" s="6" t="str">
        <f>CONCATENATE("211")</f>
        <v>211</v>
      </c>
      <c r="L62" s="6" t="str">
        <f>CONCATENATE("13 13.1 4a")</f>
        <v>13 13.1 4a</v>
      </c>
      <c r="M62" s="6" t="str">
        <f>CONCATENATE("MBRRNG69A28F839I")</f>
        <v>MBRRNG69A28F839I</v>
      </c>
      <c r="N62" s="6" t="s">
        <v>142</v>
      </c>
      <c r="O62" s="6" t="s">
        <v>91</v>
      </c>
      <c r="P62" s="7">
        <v>42696</v>
      </c>
      <c r="Q62" s="6" t="s">
        <v>29</v>
      </c>
      <c r="R62" s="6" t="s">
        <v>30</v>
      </c>
      <c r="S62" s="6" t="s">
        <v>31</v>
      </c>
      <c r="T62" s="8">
        <v>4979.8999999999996</v>
      </c>
      <c r="U62" s="8">
        <v>2147.33</v>
      </c>
      <c r="V62" s="8">
        <v>1983</v>
      </c>
      <c r="W62" s="6">
        <v>849.57</v>
      </c>
    </row>
    <row r="63" spans="1:23" ht="24.75" x14ac:dyDescent="0.25">
      <c r="A63" s="6" t="s">
        <v>24</v>
      </c>
      <c r="B63" s="6" t="s">
        <v>25</v>
      </c>
      <c r="C63" s="6" t="s">
        <v>41</v>
      </c>
      <c r="D63" s="6" t="s">
        <v>50</v>
      </c>
      <c r="E63" s="6" t="s">
        <v>32</v>
      </c>
      <c r="F63" s="6" t="s">
        <v>51</v>
      </c>
      <c r="G63" s="6">
        <v>2015</v>
      </c>
      <c r="H63" s="6" t="str">
        <f>CONCATENATE("54745300621")</f>
        <v>54745300621</v>
      </c>
      <c r="I63" s="6" t="s">
        <v>27</v>
      </c>
      <c r="J63" s="6" t="s">
        <v>28</v>
      </c>
      <c r="K63" s="6" t="str">
        <f>CONCATENATE("213")</f>
        <v>213</v>
      </c>
      <c r="L63" s="6" t="str">
        <f>CONCATENATE("12 12.1 4a")</f>
        <v>12 12.1 4a</v>
      </c>
      <c r="M63" s="6" t="str">
        <f>CONCATENATE("RVLMRA43B04H501Q")</f>
        <v>RVLMRA43B04H501Q</v>
      </c>
      <c r="N63" s="6" t="s">
        <v>109</v>
      </c>
      <c r="O63" s="6" t="s">
        <v>143</v>
      </c>
      <c r="P63" s="7">
        <v>42696</v>
      </c>
      <c r="Q63" s="6" t="s">
        <v>29</v>
      </c>
      <c r="R63" s="6" t="s">
        <v>30</v>
      </c>
      <c r="S63" s="6" t="s">
        <v>31</v>
      </c>
      <c r="T63" s="8">
        <v>8784.7099999999991</v>
      </c>
      <c r="U63" s="8">
        <v>3787.97</v>
      </c>
      <c r="V63" s="8">
        <v>3498.07</v>
      </c>
      <c r="W63" s="8">
        <v>1498.67</v>
      </c>
    </row>
    <row r="64" spans="1:23" ht="24.75" x14ac:dyDescent="0.25">
      <c r="A64" s="6" t="s">
        <v>24</v>
      </c>
      <c r="B64" s="6" t="s">
        <v>25</v>
      </c>
      <c r="C64" s="6" t="s">
        <v>41</v>
      </c>
      <c r="D64" s="6" t="s">
        <v>50</v>
      </c>
      <c r="E64" s="6" t="s">
        <v>32</v>
      </c>
      <c r="F64" s="6" t="s">
        <v>72</v>
      </c>
      <c r="G64" s="6">
        <v>2015</v>
      </c>
      <c r="H64" s="6" t="str">
        <f>CONCATENATE("54745396579")</f>
        <v>54745396579</v>
      </c>
      <c r="I64" s="6" t="s">
        <v>27</v>
      </c>
      <c r="J64" s="6" t="s">
        <v>28</v>
      </c>
      <c r="K64" s="6" t="str">
        <f>CONCATENATE("211")</f>
        <v>211</v>
      </c>
      <c r="L64" s="6" t="str">
        <f>CONCATENATE("13 13.1 4a")</f>
        <v>13 13.1 4a</v>
      </c>
      <c r="M64" s="6" t="str">
        <f>CONCATENATE("BGGMRZ45C26I436H")</f>
        <v>BGGMRZ45C26I436H</v>
      </c>
      <c r="N64" s="6" t="s">
        <v>124</v>
      </c>
      <c r="O64" s="6" t="s">
        <v>49</v>
      </c>
      <c r="P64" s="7">
        <v>42696</v>
      </c>
      <c r="Q64" s="6" t="s">
        <v>29</v>
      </c>
      <c r="R64" s="6" t="s">
        <v>30</v>
      </c>
      <c r="S64" s="6" t="s">
        <v>31</v>
      </c>
      <c r="T64" s="8">
        <v>3306.78</v>
      </c>
      <c r="U64" s="8">
        <v>1425.88</v>
      </c>
      <c r="V64" s="8">
        <v>1316.76</v>
      </c>
      <c r="W64" s="6">
        <v>564.14</v>
      </c>
    </row>
    <row r="65" spans="1:23" ht="24.75" x14ac:dyDescent="0.25">
      <c r="A65" s="6" t="s">
        <v>24</v>
      </c>
      <c r="B65" s="6" t="s">
        <v>36</v>
      </c>
      <c r="C65" s="6" t="s">
        <v>41</v>
      </c>
      <c r="D65" s="6" t="s">
        <v>50</v>
      </c>
      <c r="E65" s="6" t="s">
        <v>39</v>
      </c>
      <c r="F65" s="6" t="s">
        <v>39</v>
      </c>
      <c r="G65" s="6">
        <v>2008</v>
      </c>
      <c r="H65" s="6" t="str">
        <f>CONCATENATE("84758387785")</f>
        <v>84758387785</v>
      </c>
      <c r="I65" s="6" t="s">
        <v>27</v>
      </c>
      <c r="J65" s="6" t="s">
        <v>28</v>
      </c>
      <c r="K65" s="6" t="str">
        <f>CONCATENATE("111")</f>
        <v>111</v>
      </c>
      <c r="L65" s="6" t="str">
        <f>CONCATENATE("1 1.2 2a")</f>
        <v>1 1.2 2a</v>
      </c>
      <c r="M65" s="6" t="str">
        <f>CONCATENATE("80003760438")</f>
        <v>80003760438</v>
      </c>
      <c r="N65" s="6" t="s">
        <v>120</v>
      </c>
      <c r="O65" s="6" t="s">
        <v>121</v>
      </c>
      <c r="P65" s="7">
        <v>42696</v>
      </c>
      <c r="Q65" s="6" t="s">
        <v>29</v>
      </c>
      <c r="R65" s="6" t="s">
        <v>30</v>
      </c>
      <c r="S65" s="6" t="s">
        <v>31</v>
      </c>
      <c r="T65" s="8">
        <v>26262.28</v>
      </c>
      <c r="U65" s="8">
        <v>11324.3</v>
      </c>
      <c r="V65" s="8">
        <v>10457.64</v>
      </c>
      <c r="W65" s="8">
        <v>4480.34</v>
      </c>
    </row>
    <row r="66" spans="1:23" ht="24.75" x14ac:dyDescent="0.25">
      <c r="A66" s="6" t="s">
        <v>24</v>
      </c>
      <c r="B66" s="6" t="s">
        <v>25</v>
      </c>
      <c r="C66" s="6" t="s">
        <v>41</v>
      </c>
      <c r="D66" s="6" t="s">
        <v>46</v>
      </c>
      <c r="E66" s="6" t="s">
        <v>32</v>
      </c>
      <c r="F66" s="6" t="s">
        <v>67</v>
      </c>
      <c r="G66" s="6">
        <v>2015</v>
      </c>
      <c r="H66" s="6" t="str">
        <f>CONCATENATE("54745093226")</f>
        <v>54745093226</v>
      </c>
      <c r="I66" s="6" t="s">
        <v>33</v>
      </c>
      <c r="J66" s="6" t="s">
        <v>28</v>
      </c>
      <c r="K66" s="6" t="str">
        <f>CONCATENATE("211")</f>
        <v>211</v>
      </c>
      <c r="L66" s="6" t="str">
        <f>CONCATENATE("13 13.1 4a")</f>
        <v>13 13.1 4a</v>
      </c>
      <c r="M66" s="6" t="str">
        <f>CONCATENATE("SPDNTN40H25I461I")</f>
        <v>SPDNTN40H25I461I</v>
      </c>
      <c r="N66" s="6" t="s">
        <v>144</v>
      </c>
      <c r="O66" s="6" t="s">
        <v>49</v>
      </c>
      <c r="P66" s="7">
        <v>42696</v>
      </c>
      <c r="Q66" s="6" t="s">
        <v>29</v>
      </c>
      <c r="R66" s="6" t="s">
        <v>30</v>
      </c>
      <c r="S66" s="6" t="s">
        <v>31</v>
      </c>
      <c r="T66" s="8">
        <v>5987.14</v>
      </c>
      <c r="U66" s="8">
        <v>2581.65</v>
      </c>
      <c r="V66" s="8">
        <v>2384.08</v>
      </c>
      <c r="W66" s="8">
        <v>1021.41</v>
      </c>
    </row>
    <row r="67" spans="1:23" ht="24.75" x14ac:dyDescent="0.25">
      <c r="A67" s="6" t="s">
        <v>24</v>
      </c>
      <c r="B67" s="6" t="s">
        <v>25</v>
      </c>
      <c r="C67" s="6" t="s">
        <v>41</v>
      </c>
      <c r="D67" s="6" t="s">
        <v>46</v>
      </c>
      <c r="E67" s="6" t="s">
        <v>26</v>
      </c>
      <c r="F67" s="6" t="s">
        <v>57</v>
      </c>
      <c r="G67" s="6">
        <v>2015</v>
      </c>
      <c r="H67" s="6" t="str">
        <f>CONCATENATE("54745371945")</f>
        <v>54745371945</v>
      </c>
      <c r="I67" s="6" t="s">
        <v>33</v>
      </c>
      <c r="J67" s="6" t="s">
        <v>28</v>
      </c>
      <c r="K67" s="6" t="str">
        <f>CONCATENATE("211")</f>
        <v>211</v>
      </c>
      <c r="L67" s="6" t="str">
        <f>CONCATENATE("13 13.1 4a")</f>
        <v>13 13.1 4a</v>
      </c>
      <c r="M67" s="6" t="str">
        <f>CONCATENATE("PTRGZN57T29A366B")</f>
        <v>PTRGZN57T29A366B</v>
      </c>
      <c r="N67" s="6" t="s">
        <v>145</v>
      </c>
      <c r="O67" s="6" t="s">
        <v>49</v>
      </c>
      <c r="P67" s="7">
        <v>42696</v>
      </c>
      <c r="Q67" s="6" t="s">
        <v>29</v>
      </c>
      <c r="R67" s="6" t="s">
        <v>30</v>
      </c>
      <c r="S67" s="6" t="s">
        <v>31</v>
      </c>
      <c r="T67" s="8">
        <v>6661.78</v>
      </c>
      <c r="U67" s="8">
        <v>2872.56</v>
      </c>
      <c r="V67" s="8">
        <v>2652.72</v>
      </c>
      <c r="W67" s="8">
        <v>1136.5</v>
      </c>
    </row>
    <row r="68" spans="1:23" ht="24.75" x14ac:dyDescent="0.25">
      <c r="A68" s="6" t="s">
        <v>24</v>
      </c>
      <c r="B68" s="6" t="s">
        <v>25</v>
      </c>
      <c r="C68" s="6" t="s">
        <v>41</v>
      </c>
      <c r="D68" s="6" t="s">
        <v>50</v>
      </c>
      <c r="E68" s="6" t="s">
        <v>37</v>
      </c>
      <c r="F68" s="6" t="s">
        <v>128</v>
      </c>
      <c r="G68" s="6">
        <v>2014</v>
      </c>
      <c r="H68" s="6" t="str">
        <f>CONCATENATE("44715844567")</f>
        <v>44715844567</v>
      </c>
      <c r="I68" s="6" t="s">
        <v>27</v>
      </c>
      <c r="J68" s="6" t="s">
        <v>28</v>
      </c>
      <c r="K68" s="6" t="str">
        <f>CONCATENATE("214")</f>
        <v>214</v>
      </c>
      <c r="L68" s="6" t="str">
        <f>CONCATENATE("11 11.2 4b")</f>
        <v>11 11.2 4b</v>
      </c>
      <c r="M68" s="6" t="str">
        <f>CONCATENATE("CLMPLG62P24F567B")</f>
        <v>CLMPLG62P24F567B</v>
      </c>
      <c r="N68" s="6" t="s">
        <v>129</v>
      </c>
      <c r="O68" s="6" t="s">
        <v>56</v>
      </c>
      <c r="P68" s="7">
        <v>42200</v>
      </c>
      <c r="Q68" s="6" t="s">
        <v>29</v>
      </c>
      <c r="R68" s="6" t="s">
        <v>30</v>
      </c>
      <c r="S68" s="6" t="s">
        <v>31</v>
      </c>
      <c r="T68" s="8">
        <v>5874.93</v>
      </c>
      <c r="U68" s="8">
        <v>2533.27</v>
      </c>
      <c r="V68" s="8">
        <v>2339.4</v>
      </c>
      <c r="W68" s="8">
        <v>1002.26</v>
      </c>
    </row>
    <row r="69" spans="1:23" ht="24.75" x14ac:dyDescent="0.25">
      <c r="A69" s="6" t="s">
        <v>24</v>
      </c>
      <c r="B69" s="6" t="s">
        <v>25</v>
      </c>
      <c r="C69" s="6" t="s">
        <v>41</v>
      </c>
      <c r="D69" s="6" t="s">
        <v>50</v>
      </c>
      <c r="E69" s="6" t="s">
        <v>37</v>
      </c>
      <c r="F69" s="6" t="s">
        <v>128</v>
      </c>
      <c r="G69" s="6">
        <v>2014</v>
      </c>
      <c r="H69" s="6" t="str">
        <f>CONCATENATE("44715535900")</f>
        <v>44715535900</v>
      </c>
      <c r="I69" s="6" t="s">
        <v>27</v>
      </c>
      <c r="J69" s="6" t="s">
        <v>28</v>
      </c>
      <c r="K69" s="6" t="str">
        <f>CONCATENATE("214")</f>
        <v>214</v>
      </c>
      <c r="L69" s="6" t="str">
        <f>CONCATENATE("11 11.2 4b")</f>
        <v>11 11.2 4b</v>
      </c>
      <c r="M69" s="6" t="str">
        <f>CONCATENATE("CLMPLG62P24F567B")</f>
        <v>CLMPLG62P24F567B</v>
      </c>
      <c r="N69" s="6" t="s">
        <v>129</v>
      </c>
      <c r="O69" s="6" t="s">
        <v>146</v>
      </c>
      <c r="P69" s="7">
        <v>42108</v>
      </c>
      <c r="Q69" s="6" t="s">
        <v>29</v>
      </c>
      <c r="R69" s="6" t="s">
        <v>30</v>
      </c>
      <c r="S69" s="6" t="s">
        <v>31</v>
      </c>
      <c r="T69" s="8">
        <v>11987.23</v>
      </c>
      <c r="U69" s="8">
        <v>5168.8900000000003</v>
      </c>
      <c r="V69" s="8">
        <v>4773.3100000000004</v>
      </c>
      <c r="W69" s="8">
        <v>2045.03</v>
      </c>
    </row>
    <row r="70" spans="1:23" ht="24.75" x14ac:dyDescent="0.25">
      <c r="A70" s="6" t="s">
        <v>24</v>
      </c>
      <c r="B70" s="6" t="s">
        <v>25</v>
      </c>
      <c r="C70" s="6" t="s">
        <v>41</v>
      </c>
      <c r="D70" s="6" t="s">
        <v>50</v>
      </c>
      <c r="E70" s="6" t="s">
        <v>32</v>
      </c>
      <c r="F70" s="6" t="s">
        <v>72</v>
      </c>
      <c r="G70" s="6">
        <v>2015</v>
      </c>
      <c r="H70" s="6" t="str">
        <f>CONCATENATE("54715571326")</f>
        <v>54715571326</v>
      </c>
      <c r="I70" s="6" t="s">
        <v>27</v>
      </c>
      <c r="J70" s="6" t="s">
        <v>28</v>
      </c>
      <c r="K70" s="6" t="str">
        <f>CONCATENATE("214")</f>
        <v>214</v>
      </c>
      <c r="L70" s="6" t="str">
        <f>CONCATENATE("11 11.2 4b")</f>
        <v>11 11.2 4b</v>
      </c>
      <c r="M70" s="6" t="str">
        <f>CONCATENATE("RTIRNT64L29I436B")</f>
        <v>RTIRNT64L29I436B</v>
      </c>
      <c r="N70" s="6" t="s">
        <v>147</v>
      </c>
      <c r="O70" s="6" t="s">
        <v>148</v>
      </c>
      <c r="P70" s="7">
        <v>42621</v>
      </c>
      <c r="Q70" s="6" t="s">
        <v>29</v>
      </c>
      <c r="R70" s="6" t="s">
        <v>30</v>
      </c>
      <c r="S70" s="6" t="s">
        <v>31</v>
      </c>
      <c r="T70" s="8">
        <v>5453.28</v>
      </c>
      <c r="U70" s="8">
        <v>2351.4499999999998</v>
      </c>
      <c r="V70" s="8">
        <v>2171.5</v>
      </c>
      <c r="W70" s="6">
        <v>930.33</v>
      </c>
    </row>
    <row r="71" spans="1:23" ht="24.75" x14ac:dyDescent="0.25">
      <c r="A71" s="6" t="s">
        <v>24</v>
      </c>
      <c r="B71" s="6" t="s">
        <v>25</v>
      </c>
      <c r="C71" s="6" t="s">
        <v>41</v>
      </c>
      <c r="D71" s="6" t="s">
        <v>50</v>
      </c>
      <c r="E71" s="6" t="s">
        <v>32</v>
      </c>
      <c r="F71" s="6" t="s">
        <v>51</v>
      </c>
      <c r="G71" s="6">
        <v>2015</v>
      </c>
      <c r="H71" s="6" t="str">
        <f>CONCATENATE("54745275658")</f>
        <v>54745275658</v>
      </c>
      <c r="I71" s="6" t="s">
        <v>33</v>
      </c>
      <c r="J71" s="6" t="s">
        <v>28</v>
      </c>
      <c r="K71" s="6" t="str">
        <f>CONCATENATE("213")</f>
        <v>213</v>
      </c>
      <c r="L71" s="6" t="str">
        <f>CONCATENATE("12 12.1 4a")</f>
        <v>12 12.1 4a</v>
      </c>
      <c r="M71" s="6" t="str">
        <f>CONCATENATE("PNTGLN68L15F460L")</f>
        <v>PNTGLN68L15F460L</v>
      </c>
      <c r="N71" s="6" t="s">
        <v>149</v>
      </c>
      <c r="O71" s="6" t="s">
        <v>143</v>
      </c>
      <c r="P71" s="7">
        <v>42696</v>
      </c>
      <c r="Q71" s="6" t="s">
        <v>29</v>
      </c>
      <c r="R71" s="6" t="s">
        <v>30</v>
      </c>
      <c r="S71" s="6" t="s">
        <v>31</v>
      </c>
      <c r="T71" s="8">
        <v>5725.16</v>
      </c>
      <c r="U71" s="8">
        <v>2468.69</v>
      </c>
      <c r="V71" s="8">
        <v>2279.7600000000002</v>
      </c>
      <c r="W71" s="6">
        <v>976.71</v>
      </c>
    </row>
    <row r="72" spans="1:23" ht="24.75" x14ac:dyDescent="0.25">
      <c r="A72" s="6" t="s">
        <v>24</v>
      </c>
      <c r="B72" s="6" t="s">
        <v>25</v>
      </c>
      <c r="C72" s="6" t="s">
        <v>41</v>
      </c>
      <c r="D72" s="6" t="s">
        <v>50</v>
      </c>
      <c r="E72" s="6" t="s">
        <v>32</v>
      </c>
      <c r="F72" s="6" t="s">
        <v>72</v>
      </c>
      <c r="G72" s="6">
        <v>2015</v>
      </c>
      <c r="H72" s="6" t="str">
        <f>CONCATENATE("54715355753")</f>
        <v>54715355753</v>
      </c>
      <c r="I72" s="6" t="s">
        <v>27</v>
      </c>
      <c r="J72" s="6" t="s">
        <v>28</v>
      </c>
      <c r="K72" s="6" t="str">
        <f>CONCATENATE("214")</f>
        <v>214</v>
      </c>
      <c r="L72" s="6" t="str">
        <f>CONCATENATE("11 11.2 4b")</f>
        <v>11 11.2 4b</v>
      </c>
      <c r="M72" s="6" t="str">
        <f>CONCATENATE("BCCNRC78C21I436T")</f>
        <v>BCCNRC78C21I436T</v>
      </c>
      <c r="N72" s="6" t="s">
        <v>78</v>
      </c>
      <c r="O72" s="6" t="s">
        <v>74</v>
      </c>
      <c r="P72" s="7">
        <v>42545</v>
      </c>
      <c r="Q72" s="6" t="s">
        <v>29</v>
      </c>
      <c r="R72" s="6" t="s">
        <v>30</v>
      </c>
      <c r="S72" s="6" t="s">
        <v>31</v>
      </c>
      <c r="T72" s="8">
        <v>6800.15</v>
      </c>
      <c r="U72" s="8">
        <v>2932.22</v>
      </c>
      <c r="V72" s="8">
        <v>2707.82</v>
      </c>
      <c r="W72" s="8">
        <v>1160.1099999999999</v>
      </c>
    </row>
    <row r="73" spans="1:23" ht="24.75" x14ac:dyDescent="0.25">
      <c r="A73" s="6" t="s">
        <v>24</v>
      </c>
      <c r="B73" s="6" t="s">
        <v>36</v>
      </c>
      <c r="C73" s="6" t="s">
        <v>41</v>
      </c>
      <c r="D73" s="6" t="s">
        <v>50</v>
      </c>
      <c r="E73" s="6" t="s">
        <v>39</v>
      </c>
      <c r="F73" s="6" t="s">
        <v>39</v>
      </c>
      <c r="G73" s="6">
        <v>2008</v>
      </c>
      <c r="H73" s="6" t="str">
        <f>CONCATENATE("84758386837")</f>
        <v>84758386837</v>
      </c>
      <c r="I73" s="6" t="s">
        <v>27</v>
      </c>
      <c r="J73" s="6" t="s">
        <v>28</v>
      </c>
      <c r="K73" s="6" t="str">
        <f>CONCATENATE("132")</f>
        <v>132</v>
      </c>
      <c r="L73" s="6" t="str">
        <f>CONCATENATE("3 3.1 3a")</f>
        <v>3 3.1 3a</v>
      </c>
      <c r="M73" s="6" t="str">
        <f>CONCATENATE("CPPLNZ48L08B474P")</f>
        <v>CPPLNZ48L08B474P</v>
      </c>
      <c r="N73" s="6" t="s">
        <v>52</v>
      </c>
      <c r="O73" s="6" t="s">
        <v>139</v>
      </c>
      <c r="P73" s="7">
        <v>42541</v>
      </c>
      <c r="Q73" s="6" t="s">
        <v>29</v>
      </c>
      <c r="R73" s="6" t="s">
        <v>30</v>
      </c>
      <c r="S73" s="6" t="s">
        <v>31</v>
      </c>
      <c r="T73" s="6">
        <v>213.88</v>
      </c>
      <c r="U73" s="6">
        <v>92.23</v>
      </c>
      <c r="V73" s="6">
        <v>85.17</v>
      </c>
      <c r="W73" s="6">
        <v>36.479999999999997</v>
      </c>
    </row>
    <row r="74" spans="1:23" ht="24.75" x14ac:dyDescent="0.25">
      <c r="A74" s="6" t="s">
        <v>24</v>
      </c>
      <c r="B74" s="6" t="s">
        <v>25</v>
      </c>
      <c r="C74" s="6" t="s">
        <v>41</v>
      </c>
      <c r="D74" s="6" t="s">
        <v>50</v>
      </c>
      <c r="E74" s="6" t="s">
        <v>32</v>
      </c>
      <c r="F74" s="6" t="s">
        <v>51</v>
      </c>
      <c r="G74" s="6">
        <v>2015</v>
      </c>
      <c r="H74" s="6" t="str">
        <f>CONCATENATE("54745059904")</f>
        <v>54745059904</v>
      </c>
      <c r="I74" s="6" t="s">
        <v>27</v>
      </c>
      <c r="J74" s="6" t="s">
        <v>28</v>
      </c>
      <c r="K74" s="6" t="str">
        <f>CONCATENATE("211")</f>
        <v>211</v>
      </c>
      <c r="L74" s="6" t="str">
        <f>CONCATENATE("13 13.1 4a")</f>
        <v>13 13.1 4a</v>
      </c>
      <c r="M74" s="6" t="str">
        <f>CONCATENATE("TCCVNZ44D24I569K")</f>
        <v>TCCVNZ44D24I569K</v>
      </c>
      <c r="N74" s="6" t="s">
        <v>150</v>
      </c>
      <c r="O74" s="6" t="s">
        <v>49</v>
      </c>
      <c r="P74" s="7">
        <v>42696</v>
      </c>
      <c r="Q74" s="6" t="s">
        <v>29</v>
      </c>
      <c r="R74" s="6" t="s">
        <v>30</v>
      </c>
      <c r="S74" s="6" t="s">
        <v>31</v>
      </c>
      <c r="T74" s="8">
        <v>7320.74</v>
      </c>
      <c r="U74" s="8">
        <v>3156.7</v>
      </c>
      <c r="V74" s="8">
        <v>2915.12</v>
      </c>
      <c r="W74" s="8">
        <v>1248.92</v>
      </c>
    </row>
    <row r="75" spans="1:23" ht="24.75" x14ac:dyDescent="0.25">
      <c r="A75" s="6" t="s">
        <v>24</v>
      </c>
      <c r="B75" s="6" t="s">
        <v>25</v>
      </c>
      <c r="C75" s="6" t="s">
        <v>41</v>
      </c>
      <c r="D75" s="6" t="s">
        <v>46</v>
      </c>
      <c r="E75" s="6" t="s">
        <v>32</v>
      </c>
      <c r="F75" s="6" t="s">
        <v>67</v>
      </c>
      <c r="G75" s="6">
        <v>2015</v>
      </c>
      <c r="H75" s="6" t="str">
        <f>CONCATENATE("54715209141")</f>
        <v>54715209141</v>
      </c>
      <c r="I75" s="6" t="s">
        <v>33</v>
      </c>
      <c r="J75" s="6" t="s">
        <v>28</v>
      </c>
      <c r="K75" s="6" t="str">
        <f>CONCATENATE("214")</f>
        <v>214</v>
      </c>
      <c r="L75" s="6" t="str">
        <f>CONCATENATE("11 11.1 4b")</f>
        <v>11 11.1 4b</v>
      </c>
      <c r="M75" s="6" t="str">
        <f>CONCATENATE("NCLDNL66M09I461N")</f>
        <v>NCLDNL66M09I461N</v>
      </c>
      <c r="N75" s="6" t="s">
        <v>151</v>
      </c>
      <c r="O75" s="6" t="s">
        <v>59</v>
      </c>
      <c r="P75" s="7">
        <v>42696</v>
      </c>
      <c r="Q75" s="6" t="s">
        <v>29</v>
      </c>
      <c r="R75" s="6" t="s">
        <v>30</v>
      </c>
      <c r="S75" s="6" t="s">
        <v>31</v>
      </c>
      <c r="T75" s="8">
        <v>1711.99</v>
      </c>
      <c r="U75" s="6">
        <v>738.21</v>
      </c>
      <c r="V75" s="6">
        <v>681.71</v>
      </c>
      <c r="W75" s="6">
        <v>292.07</v>
      </c>
    </row>
    <row r="76" spans="1:23" ht="24.75" x14ac:dyDescent="0.25">
      <c r="A76" s="6" t="s">
        <v>24</v>
      </c>
      <c r="B76" s="6" t="s">
        <v>25</v>
      </c>
      <c r="C76" s="6" t="s">
        <v>41</v>
      </c>
      <c r="D76" s="6" t="s">
        <v>42</v>
      </c>
      <c r="E76" s="6" t="s">
        <v>26</v>
      </c>
      <c r="F76" s="6" t="s">
        <v>83</v>
      </c>
      <c r="G76" s="6">
        <v>2015</v>
      </c>
      <c r="H76" s="6" t="str">
        <f>CONCATENATE("54745340031")</f>
        <v>54745340031</v>
      </c>
      <c r="I76" s="6" t="s">
        <v>33</v>
      </c>
      <c r="J76" s="6" t="s">
        <v>28</v>
      </c>
      <c r="K76" s="6" t="str">
        <f>CONCATENATE("211")</f>
        <v>211</v>
      </c>
      <c r="L76" s="6" t="str">
        <f>CONCATENATE("13 13.1 4a")</f>
        <v>13 13.1 4a</v>
      </c>
      <c r="M76" s="6" t="str">
        <f>CONCATENATE("LCRGNN53S01G453E")</f>
        <v>LCRGNN53S01G453E</v>
      </c>
      <c r="N76" s="6" t="s">
        <v>152</v>
      </c>
      <c r="O76" s="6" t="s">
        <v>91</v>
      </c>
      <c r="P76" s="7">
        <v>42696</v>
      </c>
      <c r="Q76" s="6" t="s">
        <v>29</v>
      </c>
      <c r="R76" s="6" t="s">
        <v>30</v>
      </c>
      <c r="S76" s="6" t="s">
        <v>31</v>
      </c>
      <c r="T76" s="8">
        <v>1894.74</v>
      </c>
      <c r="U76" s="6">
        <v>817.01</v>
      </c>
      <c r="V76" s="6">
        <v>754.49</v>
      </c>
      <c r="W76" s="6">
        <v>323.24</v>
      </c>
    </row>
  </sheetData>
  <mergeCells count="2">
    <mergeCell ref="A1:W1"/>
    <mergeCell ref="A2:W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2016-11-30T09:36:17Z</dcterms:created>
  <dcterms:modified xsi:type="dcterms:W3CDTF">2016-11-30T09:36:58Z</dcterms:modified>
</cp:coreProperties>
</file>