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Dettaglio_Domande_Pagabili_AGEA" sheetId="1" r:id="rId1"/>
  </sheets>
  <calcPr calcId="145621"/>
</workbook>
</file>

<file path=xl/calcChain.xml><?xml version="1.0" encoding="utf-8"?>
<calcChain xmlns="http://schemas.openxmlformats.org/spreadsheetml/2006/main">
  <c r="M45" i="1" l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<sst xmlns="http://schemas.openxmlformats.org/spreadsheetml/2006/main" count="570" uniqueCount="114">
  <si>
    <t>Dettaglio Domande Pagabili Decreto 22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</si>
  <si>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</si>
  <si>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</si>
  <si>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</si>
  <si>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</si>
  <si>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</si>
  <si>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</si>
  <si>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</si>
  <si>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</si>
  <si>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</si>
  <si>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</si>
  <si>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</si>
  <si>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</si>
  <si>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</si>
  <si>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</si>
  <si>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</si>
  <si>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</si>
  <si>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</si>
  <si>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</si>
  <si>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</si>
  <si>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</si>
  <si>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</si>
  <si>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</si>
  <si>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</si>
  <si>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AGEA</t>
  </si>
  <si>
    <t>Misure a Superficie</t>
  </si>
  <si>
    <t>CAA Coldiretti srl</t>
  </si>
  <si>
    <t>SI</t>
  </si>
  <si>
    <t>Trascinamenti</t>
  </si>
  <si>
    <t>In Liquidazione</t>
  </si>
  <si>
    <t>Saldo</t>
  </si>
  <si>
    <t>Co-Finanziato</t>
  </si>
  <si>
    <t>CAA CIA srl</t>
  </si>
  <si>
    <t>NO</t>
  </si>
  <si>
    <t>CAA Confagricoltura srl</t>
  </si>
  <si>
    <t>CAA Copagri srl</t>
  </si>
  <si>
    <t>CAA LiberiAgricoltori srl già CAA AGCI srl</t>
  </si>
  <si>
    <t>Misure Strutturali</t>
  </si>
  <si>
    <t>IN PROPRIO</t>
  </si>
  <si>
    <t>MARCHE</t>
  </si>
  <si>
    <t>SERV. DEC. AGRICOLTURA E ALIMENTAZIONE - PESARO</t>
  </si>
  <si>
    <t>CAA Coldiretti - PESARO E URBINO - 006</t>
  </si>
  <si>
    <t>TINTI ANTONIO</t>
  </si>
  <si>
    <t>AGEA.ASR.2016.0454843</t>
  </si>
  <si>
    <t>SERV. DEC. AGRICOLTURA E ALIMENTAZIONE - ANCONA</t>
  </si>
  <si>
    <t>CAA Confagricoltura - ANCONA - 001</t>
  </si>
  <si>
    <t>ISTITUTO MUZIO GALLO</t>
  </si>
  <si>
    <t>AGEA.ASR.2016.0267447</t>
  </si>
  <si>
    <t>SERVIZIO DECENTRATO AGRICOLTURA E ALIM. - MACERATA</t>
  </si>
  <si>
    <t>CAA Coldiretti - MACERATA - 007</t>
  </si>
  <si>
    <t>GATTI LARA</t>
  </si>
  <si>
    <t>AGEA.ASR.2016.0454846</t>
  </si>
  <si>
    <t>CAA Coldiretti - PESARO E URBINO - 013</t>
  </si>
  <si>
    <t>CALVANI LAURA</t>
  </si>
  <si>
    <t>DECORTES BACHISIO</t>
  </si>
  <si>
    <t>FANCELLO GIORGIO</t>
  </si>
  <si>
    <t>CAA CIA - MACERATA - 001</t>
  </si>
  <si>
    <t>VALOTA STEFANO</t>
  </si>
  <si>
    <t>AGEA.ASR.2016.0461652</t>
  </si>
  <si>
    <t>CAA Coldiretti - PESARO E URBINO - 004</t>
  </si>
  <si>
    <t>MATTEI SIMONE</t>
  </si>
  <si>
    <t>COACCI ORIETTA</t>
  </si>
  <si>
    <t>CESARI FORTUNATO</t>
  </si>
  <si>
    <t>VENNARUCCI GIUSEPPA</t>
  </si>
  <si>
    <t>CAA Coldiretti - MACERATA - 017</t>
  </si>
  <si>
    <t>SOCIETA' AGRICOLA IL CASONE DI INNOCENZI ROBERTA &amp; C. S.S.</t>
  </si>
  <si>
    <t>CAA Confagricoltura - MACERATA - 001</t>
  </si>
  <si>
    <t>PALMIERI NAZARENO</t>
  </si>
  <si>
    <t>MORETTI STEFANIA</t>
  </si>
  <si>
    <t>RIVELLI MARIO</t>
  </si>
  <si>
    <t>CAA CIA - PESARO E URBINO - 007</t>
  </si>
  <si>
    <t>CIARIMBOLI PAOLO</t>
  </si>
  <si>
    <t>VISCONTI ENZO</t>
  </si>
  <si>
    <t>CAA LiberiAgricoltori - MACERATA - 004</t>
  </si>
  <si>
    <t>FERRANTI FABIO</t>
  </si>
  <si>
    <t>TARSI SERGIO</t>
  </si>
  <si>
    <t>BUSSAGLIA GIADA</t>
  </si>
  <si>
    <t>AGEA.ASR.2016.0458019</t>
  </si>
  <si>
    <t>SERV. DEC. AGRICOLTURA E ALIM. -ASCOLI PICENO</t>
  </si>
  <si>
    <t>CAA Copagri - ASCOLI PICENO - 501</t>
  </si>
  <si>
    <t>PASCUCCI FELICIA</t>
  </si>
  <si>
    <t>AGEA.ASR.2015.0219023</t>
  </si>
  <si>
    <t>CARLI LUCIANO</t>
  </si>
  <si>
    <t>CAA LiberiAgricoltori - MACERATA - 001</t>
  </si>
  <si>
    <t>SOCIETA'AGRICOLA LA MARCA DI SCAGNETTI FRANCESCO E C. SOC. SEMPLICE</t>
  </si>
  <si>
    <t>PONTANI GIULIANO</t>
  </si>
  <si>
    <t>LENZI RICCARDO</t>
  </si>
  <si>
    <t>GROSSI GIUSEPPE</t>
  </si>
  <si>
    <t>CAA Coldiretti - PESARO E URBINO - 001</t>
  </si>
  <si>
    <t>SOCIETA' AGRICOLA CALANDRINI MARIO E BAZZUCCHI GRAZIELLA S.S.</t>
  </si>
  <si>
    <t>SOCIETA' AGRICOLA DRSILENZI S.S.</t>
  </si>
  <si>
    <t>CAA Coldiretti - ANCONA - 008</t>
  </si>
  <si>
    <t>ROSSINI PATRIZIA</t>
  </si>
  <si>
    <t>AGEA.ASR.2016.0454844</t>
  </si>
  <si>
    <t>SOCIETA' AGRICOLA TERRA E SAPORI DI BALDACCIONI ROMINA E RAIMONDO S.S.</t>
  </si>
  <si>
    <t>CAA Copagri - PESARO E URBINO - 503</t>
  </si>
  <si>
    <t>FINOCCHI FABRIZIO</t>
  </si>
  <si>
    <t>UNIONE MONTANA DEL TRONTO E VALFLUVIONE</t>
  </si>
  <si>
    <t>AGEA.ASR.2016.0455726</t>
  </si>
  <si>
    <t>CAA LiberiAgricoltori - PESARO E URBINO - 002</t>
  </si>
  <si>
    <t>FLAMMA LUCIA</t>
  </si>
  <si>
    <t>CAA Coldiretti - ANCONA - 006</t>
  </si>
  <si>
    <t>TURTAS LUCIA ROSA</t>
  </si>
  <si>
    <t>BAIOCCO MARIO</t>
  </si>
  <si>
    <t>DECORTES GIANFRANCO</t>
  </si>
  <si>
    <t>VISSANI STEFANO</t>
  </si>
  <si>
    <t>AGEA.ASR.2016.0456522</t>
  </si>
  <si>
    <t>CERQUE GRANNI SNC DI GABRIELLI MARISA E C.</t>
  </si>
  <si>
    <t>CAA Coldiretti - MACERATA - 018</t>
  </si>
  <si>
    <t>RAMADORI MARIO</t>
  </si>
  <si>
    <t>CAA Coldiretti - MACERATA - 009</t>
  </si>
  <si>
    <t>CHIESA MARCO GIUSEPPE</t>
  </si>
  <si>
    <t>BUSSU FRANCESCO</t>
  </si>
  <si>
    <t>BALDINI DOMENICO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</si>
</sst>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4" fontId="0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showGridLines="0" tabSelected="1" workbookViewId="0">
      <selection activeCell="F58" sqref="F58"/>
    </sheetView>
  </sheetViews>
  <sheetFormatPr defaultRowHeight="15" x14ac:dyDescent="0.25"/>
  <cols>
    <col min="1" max="1" width="15.5703125" style="4" bestFit="1" customWidth="1"/>
    <col min="2" max="2" width="16.28515625" style="4" bestFit="1" customWidth="1"/>
    <col min="3" max="3" width="18.42578125" style="4" bestFit="1" customWidth="1"/>
    <col min="4" max="4" width="36.5703125" style="4" bestFit="1" customWidth="1"/>
    <col min="5" max="5" width="32.42578125" style="4" bestFit="1" customWidth="1"/>
    <col min="6" max="6" width="36.42578125" style="4" bestFit="1" customWidth="1"/>
    <col min="7" max="7" width="8.42578125" style="4" bestFit="1" customWidth="1"/>
    <col min="8" max="8" width="12.7109375" style="4" bestFit="1" customWidth="1"/>
    <col min="9" max="9" width="21.140625" style="4" bestFit="1" customWidth="1"/>
    <col min="10" max="10" width="20.140625" style="4" bestFit="1" customWidth="1"/>
    <col min="11" max="12" width="17" style="4" bestFit="1" customWidth="1"/>
    <col min="13" max="13" width="16.7109375" style="4" bestFit="1" customWidth="1"/>
    <col min="14" max="14" width="36.5703125" style="4" bestFit="1" customWidth="1"/>
    <col min="15" max="15" width="18.85546875" style="4" bestFit="1" customWidth="1"/>
    <col min="16" max="16" width="23" style="4" bestFit="1" customWidth="1"/>
    <col min="17" max="17" width="16.28515625" style="4" bestFit="1" customWidth="1"/>
    <col min="18" max="18" width="17.85546875" style="4" bestFit="1" customWidth="1"/>
    <col min="19" max="19" width="20.28515625" style="4" bestFit="1" customWidth="1"/>
    <col min="20" max="20" width="18.42578125" style="4" bestFit="1" customWidth="1"/>
    <col min="21" max="21" width="24.5703125" style="4" bestFit="1" customWidth="1"/>
    <col min="22" max="23" width="27.140625" style="4" bestFit="1" customWidth="1"/>
    <col min="24" max="16384" width="9.140625" style="4"/>
  </cols>
  <sheetData>
    <row r="1" spans="1:2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</row>
    <row r="4" spans="1:23" ht="24.75" x14ac:dyDescent="0.25">
      <c r="A4" s="6" t="s">
        <v>24</v>
      </c>
      <c r="B4" s="6" t="s">
        <v>25</v>
      </c>
      <c r="C4" s="6" t="s">
        <v>39</v>
      </c>
      <c r="D4" s="6" t="s">
        <v>40</v>
      </c>
      <c r="E4" s="6" t="s">
        <v>26</v>
      </c>
      <c r="F4" s="6" t="s">
        <v>41</v>
      </c>
      <c r="G4" s="6">
        <v>2015</v>
      </c>
      <c r="H4" s="6" t="str">
        <f>CONCATENATE("54745313772")</f>
        <v>54745313772</v>
      </c>
      <c r="I4" s="6" t="s">
        <v>27</v>
      </c>
      <c r="J4" s="6" t="s">
        <v>28</v>
      </c>
      <c r="K4" s="6" t="str">
        <f>CONCATENATE("211")</f>
        <v>211</v>
      </c>
      <c r="L4" s="6" t="str">
        <f>CONCATENATE("13 13.1 4a")</f>
        <v>13 13.1 4a</v>
      </c>
      <c r="M4" s="6" t="str">
        <f>CONCATENATE("TNTNTN53A07G453M")</f>
        <v>TNTNTN53A07G453M</v>
      </c>
      <c r="N4" s="6" t="s">
        <v>42</v>
      </c>
      <c r="O4" s="6" t="s">
        <v>43</v>
      </c>
      <c r="P4" s="7">
        <v>42621</v>
      </c>
      <c r="Q4" s="6" t="s">
        <v>29</v>
      </c>
      <c r="R4" s="6" t="s">
        <v>30</v>
      </c>
      <c r="S4" s="6" t="s">
        <v>31</v>
      </c>
      <c r="T4" s="8">
        <v>6659</v>
      </c>
      <c r="U4" s="8">
        <v>2871.36</v>
      </c>
      <c r="V4" s="8">
        <v>2651.61</v>
      </c>
      <c r="W4" s="8">
        <v>1136.03</v>
      </c>
    </row>
    <row r="5" spans="1:23" ht="24.75" x14ac:dyDescent="0.25">
      <c r="A5" s="6" t="s">
        <v>24</v>
      </c>
      <c r="B5" s="6" t="s">
        <v>25</v>
      </c>
      <c r="C5" s="6" t="s">
        <v>39</v>
      </c>
      <c r="D5" s="6" t="s">
        <v>44</v>
      </c>
      <c r="E5" s="6" t="s">
        <v>34</v>
      </c>
      <c r="F5" s="6" t="s">
        <v>45</v>
      </c>
      <c r="G5" s="6">
        <v>2014</v>
      </c>
      <c r="H5" s="6" t="str">
        <f>CONCATENATE("44715444764")</f>
        <v>44715444764</v>
      </c>
      <c r="I5" s="6" t="s">
        <v>33</v>
      </c>
      <c r="J5" s="6" t="s">
        <v>28</v>
      </c>
      <c r="K5" s="6" t="str">
        <f>CONCATENATE("214")</f>
        <v>214</v>
      </c>
      <c r="L5" s="6" t="str">
        <f>CONCATENATE("10 10.1 4a")</f>
        <v>10 10.1 4a</v>
      </c>
      <c r="M5" s="6" t="str">
        <f>CONCATENATE("00094530425")</f>
        <v>00094530425</v>
      </c>
      <c r="N5" s="6" t="s">
        <v>46</v>
      </c>
      <c r="O5" s="6" t="s">
        <v>47</v>
      </c>
      <c r="P5" s="7">
        <v>42621</v>
      </c>
      <c r="Q5" s="6" t="s">
        <v>29</v>
      </c>
      <c r="R5" s="6" t="s">
        <v>30</v>
      </c>
      <c r="S5" s="6" t="s">
        <v>31</v>
      </c>
      <c r="T5" s="6">
        <v>400</v>
      </c>
      <c r="U5" s="6">
        <v>172.48</v>
      </c>
      <c r="V5" s="6">
        <v>159.28</v>
      </c>
      <c r="W5" s="6">
        <v>68.239999999999995</v>
      </c>
    </row>
    <row r="6" spans="1:23" ht="24.75" x14ac:dyDescent="0.25">
      <c r="A6" s="6" t="s">
        <v>24</v>
      </c>
      <c r="B6" s="6" t="s">
        <v>25</v>
      </c>
      <c r="C6" s="6" t="s">
        <v>39</v>
      </c>
      <c r="D6" s="6" t="s">
        <v>48</v>
      </c>
      <c r="E6" s="6" t="s">
        <v>26</v>
      </c>
      <c r="F6" s="6" t="s">
        <v>49</v>
      </c>
      <c r="G6" s="6">
        <v>2015</v>
      </c>
      <c r="H6" s="6" t="str">
        <f>CONCATENATE("54715246358")</f>
        <v>54715246358</v>
      </c>
      <c r="I6" s="6" t="s">
        <v>33</v>
      </c>
      <c r="J6" s="6" t="s">
        <v>28</v>
      </c>
      <c r="K6" s="6" t="str">
        <f>CONCATENATE("214")</f>
        <v>214</v>
      </c>
      <c r="L6" s="6" t="str">
        <f>CONCATENATE("11 11.2 4b")</f>
        <v>11 11.2 4b</v>
      </c>
      <c r="M6" s="6" t="str">
        <f>CONCATENATE("GTTLRA83L43E783K")</f>
        <v>GTTLRA83L43E783K</v>
      </c>
      <c r="N6" s="6" t="s">
        <v>50</v>
      </c>
      <c r="O6" s="6" t="s">
        <v>51</v>
      </c>
      <c r="P6" s="7">
        <v>42621</v>
      </c>
      <c r="Q6" s="6" t="s">
        <v>29</v>
      </c>
      <c r="R6" s="6" t="s">
        <v>30</v>
      </c>
      <c r="S6" s="6" t="s">
        <v>31</v>
      </c>
      <c r="T6" s="8">
        <v>1929.4</v>
      </c>
      <c r="U6" s="6">
        <v>831.96</v>
      </c>
      <c r="V6" s="6">
        <v>768.29</v>
      </c>
      <c r="W6" s="6">
        <v>329.15</v>
      </c>
    </row>
    <row r="7" spans="1:23" ht="24.75" x14ac:dyDescent="0.25">
      <c r="A7" s="6" t="s">
        <v>24</v>
      </c>
      <c r="B7" s="6" t="s">
        <v>25</v>
      </c>
      <c r="C7" s="6" t="s">
        <v>39</v>
      </c>
      <c r="D7" s="6" t="s">
        <v>40</v>
      </c>
      <c r="E7" s="6" t="s">
        <v>26</v>
      </c>
      <c r="F7" s="6" t="s">
        <v>52</v>
      </c>
      <c r="G7" s="6">
        <v>2015</v>
      </c>
      <c r="H7" s="6" t="str">
        <f>CONCATENATE("54745099967")</f>
        <v>54745099967</v>
      </c>
      <c r="I7" s="6" t="s">
        <v>27</v>
      </c>
      <c r="J7" s="6" t="s">
        <v>28</v>
      </c>
      <c r="K7" s="6" t="str">
        <f>CONCATENATE("211")</f>
        <v>211</v>
      </c>
      <c r="L7" s="6" t="str">
        <f>CONCATENATE("13 13.1 4a")</f>
        <v>13 13.1 4a</v>
      </c>
      <c r="M7" s="6" t="str">
        <f>CONCATENATE("CLVLRA86B51D451O")</f>
        <v>CLVLRA86B51D451O</v>
      </c>
      <c r="N7" s="6" t="s">
        <v>53</v>
      </c>
      <c r="O7" s="6" t="s">
        <v>43</v>
      </c>
      <c r="P7" s="7">
        <v>42621</v>
      </c>
      <c r="Q7" s="6" t="s">
        <v>29</v>
      </c>
      <c r="R7" s="6" t="s">
        <v>30</v>
      </c>
      <c r="S7" s="6" t="s">
        <v>31</v>
      </c>
      <c r="T7" s="8">
        <v>7706.09</v>
      </c>
      <c r="U7" s="8">
        <v>3322.87</v>
      </c>
      <c r="V7" s="8">
        <v>3068.57</v>
      </c>
      <c r="W7" s="8">
        <v>1314.65</v>
      </c>
    </row>
    <row r="8" spans="1:23" ht="24.75" x14ac:dyDescent="0.25">
      <c r="A8" s="6" t="s">
        <v>24</v>
      </c>
      <c r="B8" s="6" t="s">
        <v>25</v>
      </c>
      <c r="C8" s="6" t="s">
        <v>39</v>
      </c>
      <c r="D8" s="6" t="s">
        <v>40</v>
      </c>
      <c r="E8" s="6" t="s">
        <v>26</v>
      </c>
      <c r="F8" s="6" t="s">
        <v>41</v>
      </c>
      <c r="G8" s="6">
        <v>2015</v>
      </c>
      <c r="H8" s="6" t="str">
        <f>CONCATENATE("54745306123")</f>
        <v>54745306123</v>
      </c>
      <c r="I8" s="6" t="s">
        <v>27</v>
      </c>
      <c r="J8" s="6" t="s">
        <v>28</v>
      </c>
      <c r="K8" s="6" t="str">
        <f>CONCATENATE("211")</f>
        <v>211</v>
      </c>
      <c r="L8" s="6" t="str">
        <f>CONCATENATE("13 13.1 4a")</f>
        <v>13 13.1 4a</v>
      </c>
      <c r="M8" s="6" t="str">
        <f>CONCATENATE("DCRBHS54M12G064M")</f>
        <v>DCRBHS54M12G064M</v>
      </c>
      <c r="N8" s="6" t="s">
        <v>54</v>
      </c>
      <c r="O8" s="6" t="s">
        <v>43</v>
      </c>
      <c r="P8" s="7">
        <v>42621</v>
      </c>
      <c r="Q8" s="6" t="s">
        <v>29</v>
      </c>
      <c r="R8" s="6" t="s">
        <v>30</v>
      </c>
      <c r="S8" s="6" t="s">
        <v>31</v>
      </c>
      <c r="T8" s="8">
        <v>3571.58</v>
      </c>
      <c r="U8" s="8">
        <v>1540.07</v>
      </c>
      <c r="V8" s="8">
        <v>1422.2</v>
      </c>
      <c r="W8" s="6">
        <v>609.30999999999995</v>
      </c>
    </row>
    <row r="9" spans="1:23" ht="24.75" x14ac:dyDescent="0.25">
      <c r="A9" s="6" t="s">
        <v>24</v>
      </c>
      <c r="B9" s="6" t="s">
        <v>25</v>
      </c>
      <c r="C9" s="6" t="s">
        <v>39</v>
      </c>
      <c r="D9" s="6" t="s">
        <v>40</v>
      </c>
      <c r="E9" s="6" t="s">
        <v>26</v>
      </c>
      <c r="F9" s="6" t="s">
        <v>41</v>
      </c>
      <c r="G9" s="6">
        <v>2015</v>
      </c>
      <c r="H9" s="6" t="str">
        <f>CONCATENATE("54745360195")</f>
        <v>54745360195</v>
      </c>
      <c r="I9" s="6" t="s">
        <v>27</v>
      </c>
      <c r="J9" s="6" t="s">
        <v>28</v>
      </c>
      <c r="K9" s="6" t="str">
        <f>CONCATENATE("211")</f>
        <v>211</v>
      </c>
      <c r="L9" s="6" t="str">
        <f>CONCATENATE("13 13.1 4a")</f>
        <v>13 13.1 4a</v>
      </c>
      <c r="M9" s="6" t="str">
        <f>CONCATENATE("FNCGRG51D23L506Q")</f>
        <v>FNCGRG51D23L506Q</v>
      </c>
      <c r="N9" s="6" t="s">
        <v>55</v>
      </c>
      <c r="O9" s="6" t="s">
        <v>43</v>
      </c>
      <c r="P9" s="7">
        <v>42621</v>
      </c>
      <c r="Q9" s="6" t="s">
        <v>29</v>
      </c>
      <c r="R9" s="6" t="s">
        <v>30</v>
      </c>
      <c r="S9" s="6" t="s">
        <v>31</v>
      </c>
      <c r="T9" s="8">
        <v>6154.59</v>
      </c>
      <c r="U9" s="8">
        <v>2653.86</v>
      </c>
      <c r="V9" s="8">
        <v>2450.7600000000002</v>
      </c>
      <c r="W9" s="8">
        <v>1049.97</v>
      </c>
    </row>
    <row r="10" spans="1:23" ht="24.75" x14ac:dyDescent="0.25">
      <c r="A10" s="6" t="s">
        <v>24</v>
      </c>
      <c r="B10" s="6" t="s">
        <v>25</v>
      </c>
      <c r="C10" s="6" t="s">
        <v>39</v>
      </c>
      <c r="D10" s="6" t="s">
        <v>48</v>
      </c>
      <c r="E10" s="6" t="s">
        <v>32</v>
      </c>
      <c r="F10" s="6" t="s">
        <v>56</v>
      </c>
      <c r="G10" s="6">
        <v>2015</v>
      </c>
      <c r="H10" s="6" t="str">
        <f>CONCATENATE("54715242969")</f>
        <v>54715242969</v>
      </c>
      <c r="I10" s="6" t="s">
        <v>33</v>
      </c>
      <c r="J10" s="6" t="s">
        <v>28</v>
      </c>
      <c r="K10" s="6" t="str">
        <f>CONCATENATE("214")</f>
        <v>214</v>
      </c>
      <c r="L10" s="6" t="str">
        <f>CONCATENATE("11 11.2 4b")</f>
        <v>11 11.2 4b</v>
      </c>
      <c r="M10" s="6" t="str">
        <f>CONCATENATE("VLTSFN79P16E514V")</f>
        <v>VLTSFN79P16E514V</v>
      </c>
      <c r="N10" s="6" t="s">
        <v>57</v>
      </c>
      <c r="O10" s="6" t="s">
        <v>58</v>
      </c>
      <c r="P10" s="7">
        <v>42632</v>
      </c>
      <c r="Q10" s="6" t="s">
        <v>29</v>
      </c>
      <c r="R10" s="6" t="s">
        <v>30</v>
      </c>
      <c r="S10" s="6" t="s">
        <v>31</v>
      </c>
      <c r="T10" s="8">
        <v>5505.67</v>
      </c>
      <c r="U10" s="8">
        <v>2374.04</v>
      </c>
      <c r="V10" s="8">
        <v>2192.36</v>
      </c>
      <c r="W10" s="6">
        <v>939.27</v>
      </c>
    </row>
    <row r="11" spans="1:23" ht="24.75" x14ac:dyDescent="0.25">
      <c r="A11" s="6" t="s">
        <v>24</v>
      </c>
      <c r="B11" s="6" t="s">
        <v>25</v>
      </c>
      <c r="C11" s="6" t="s">
        <v>39</v>
      </c>
      <c r="D11" s="6" t="s">
        <v>40</v>
      </c>
      <c r="E11" s="6" t="s">
        <v>26</v>
      </c>
      <c r="F11" s="6" t="s">
        <v>59</v>
      </c>
      <c r="G11" s="6">
        <v>2015</v>
      </c>
      <c r="H11" s="6" t="str">
        <f>CONCATENATE("54745074218")</f>
        <v>54745074218</v>
      </c>
      <c r="I11" s="6" t="s">
        <v>33</v>
      </c>
      <c r="J11" s="6" t="s">
        <v>28</v>
      </c>
      <c r="K11" s="6" t="str">
        <f>CONCATENATE("211")</f>
        <v>211</v>
      </c>
      <c r="L11" s="6" t="str">
        <f>CONCATENATE("13 13.1 4a")</f>
        <v>13 13.1 4a</v>
      </c>
      <c r="M11" s="6" t="str">
        <f>CONCATENATE("MTTSMN70S19I459M")</f>
        <v>MTTSMN70S19I459M</v>
      </c>
      <c r="N11" s="6" t="s">
        <v>60</v>
      </c>
      <c r="O11" s="6" t="s">
        <v>43</v>
      </c>
      <c r="P11" s="7">
        <v>42621</v>
      </c>
      <c r="Q11" s="6" t="s">
        <v>29</v>
      </c>
      <c r="R11" s="6" t="s">
        <v>30</v>
      </c>
      <c r="S11" s="6" t="s">
        <v>31</v>
      </c>
      <c r="T11" s="8">
        <v>6818.5</v>
      </c>
      <c r="U11" s="8">
        <v>2940.14</v>
      </c>
      <c r="V11" s="8">
        <v>2715.13</v>
      </c>
      <c r="W11" s="8">
        <v>1163.23</v>
      </c>
    </row>
    <row r="12" spans="1:23" ht="24.75" x14ac:dyDescent="0.25">
      <c r="A12" s="6" t="s">
        <v>24</v>
      </c>
      <c r="B12" s="6" t="s">
        <v>25</v>
      </c>
      <c r="C12" s="6" t="s">
        <v>39</v>
      </c>
      <c r="D12" s="6" t="s">
        <v>40</v>
      </c>
      <c r="E12" s="6" t="s">
        <v>26</v>
      </c>
      <c r="F12" s="6" t="s">
        <v>41</v>
      </c>
      <c r="G12" s="6">
        <v>2015</v>
      </c>
      <c r="H12" s="6" t="str">
        <f>CONCATENATE("54745247277")</f>
        <v>54745247277</v>
      </c>
      <c r="I12" s="6" t="s">
        <v>27</v>
      </c>
      <c r="J12" s="6" t="s">
        <v>28</v>
      </c>
      <c r="K12" s="6" t="str">
        <f>CONCATENATE("211")</f>
        <v>211</v>
      </c>
      <c r="L12" s="6" t="str">
        <f>CONCATENATE("13 13.1 4a")</f>
        <v>13 13.1 4a</v>
      </c>
      <c r="M12" s="6" t="str">
        <f>CONCATENATE("CCCRTT69R55D451Z")</f>
        <v>CCCRTT69R55D451Z</v>
      </c>
      <c r="N12" s="6" t="s">
        <v>61</v>
      </c>
      <c r="O12" s="6" t="s">
        <v>43</v>
      </c>
      <c r="P12" s="7">
        <v>42621</v>
      </c>
      <c r="Q12" s="6" t="s">
        <v>29</v>
      </c>
      <c r="R12" s="6" t="s">
        <v>30</v>
      </c>
      <c r="S12" s="6" t="s">
        <v>31</v>
      </c>
      <c r="T12" s="8">
        <v>8877.07</v>
      </c>
      <c r="U12" s="8">
        <v>3827.79</v>
      </c>
      <c r="V12" s="8">
        <v>3534.85</v>
      </c>
      <c r="W12" s="8">
        <v>1514.43</v>
      </c>
    </row>
    <row r="13" spans="1:23" ht="24.75" x14ac:dyDescent="0.25">
      <c r="A13" s="6" t="s">
        <v>24</v>
      </c>
      <c r="B13" s="6" t="s">
        <v>25</v>
      </c>
      <c r="C13" s="6" t="s">
        <v>39</v>
      </c>
      <c r="D13" s="6" t="s">
        <v>48</v>
      </c>
      <c r="E13" s="6" t="s">
        <v>26</v>
      </c>
      <c r="F13" s="6" t="s">
        <v>49</v>
      </c>
      <c r="G13" s="6">
        <v>2015</v>
      </c>
      <c r="H13" s="6" t="str">
        <f>CONCATENATE("54745281268")</f>
        <v>54745281268</v>
      </c>
      <c r="I13" s="6" t="s">
        <v>27</v>
      </c>
      <c r="J13" s="6" t="s">
        <v>28</v>
      </c>
      <c r="K13" s="6" t="str">
        <f>CONCATENATE("211")</f>
        <v>211</v>
      </c>
      <c r="L13" s="6" t="str">
        <f>CONCATENATE("13 13.1 4a")</f>
        <v>13 13.1 4a</v>
      </c>
      <c r="M13" s="6" t="str">
        <f>CONCATENATE("CSRFTN46C01F509S")</f>
        <v>CSRFTN46C01F509S</v>
      </c>
      <c r="N13" s="6" t="s">
        <v>62</v>
      </c>
      <c r="O13" s="6" t="s">
        <v>43</v>
      </c>
      <c r="P13" s="7">
        <v>42621</v>
      </c>
      <c r="Q13" s="6" t="s">
        <v>29</v>
      </c>
      <c r="R13" s="6" t="s">
        <v>30</v>
      </c>
      <c r="S13" s="6" t="s">
        <v>31</v>
      </c>
      <c r="T13" s="8">
        <v>10680.95</v>
      </c>
      <c r="U13" s="8">
        <v>4605.63</v>
      </c>
      <c r="V13" s="8">
        <v>4253.1499999999996</v>
      </c>
      <c r="W13" s="8">
        <v>1822.17</v>
      </c>
    </row>
    <row r="14" spans="1:23" ht="24.75" x14ac:dyDescent="0.25">
      <c r="A14" s="6" t="s">
        <v>24</v>
      </c>
      <c r="B14" s="6" t="s">
        <v>25</v>
      </c>
      <c r="C14" s="6" t="s">
        <v>39</v>
      </c>
      <c r="D14" s="6" t="s">
        <v>40</v>
      </c>
      <c r="E14" s="6" t="s">
        <v>26</v>
      </c>
      <c r="F14" s="6" t="s">
        <v>41</v>
      </c>
      <c r="G14" s="6">
        <v>2015</v>
      </c>
      <c r="H14" s="6" t="str">
        <f>CONCATENATE("54745243797")</f>
        <v>54745243797</v>
      </c>
      <c r="I14" s="6" t="s">
        <v>27</v>
      </c>
      <c r="J14" s="6" t="s">
        <v>28</v>
      </c>
      <c r="K14" s="6" t="str">
        <f>CONCATENATE("211")</f>
        <v>211</v>
      </c>
      <c r="L14" s="6" t="str">
        <f>CONCATENATE("13 13.1 4a")</f>
        <v>13 13.1 4a</v>
      </c>
      <c r="M14" s="6" t="str">
        <f>CONCATENATE("VNNGPP50L60G453O")</f>
        <v>VNNGPP50L60G453O</v>
      </c>
      <c r="N14" s="6" t="s">
        <v>63</v>
      </c>
      <c r="O14" s="6" t="s">
        <v>43</v>
      </c>
      <c r="P14" s="7">
        <v>42621</v>
      </c>
      <c r="Q14" s="6" t="s">
        <v>29</v>
      </c>
      <c r="R14" s="6" t="s">
        <v>30</v>
      </c>
      <c r="S14" s="6" t="s">
        <v>31</v>
      </c>
      <c r="T14" s="8">
        <v>3726.91</v>
      </c>
      <c r="U14" s="8">
        <v>1607.04</v>
      </c>
      <c r="V14" s="8">
        <v>1484.06</v>
      </c>
      <c r="W14" s="6">
        <v>635.80999999999995</v>
      </c>
    </row>
    <row r="15" spans="1:23" ht="24.75" x14ac:dyDescent="0.25">
      <c r="A15" s="6" t="s">
        <v>24</v>
      </c>
      <c r="B15" s="6" t="s">
        <v>25</v>
      </c>
      <c r="C15" s="6" t="s">
        <v>39</v>
      </c>
      <c r="D15" s="6" t="s">
        <v>48</v>
      </c>
      <c r="E15" s="6" t="s">
        <v>26</v>
      </c>
      <c r="F15" s="6" t="s">
        <v>64</v>
      </c>
      <c r="G15" s="6">
        <v>2014</v>
      </c>
      <c r="H15" s="6" t="str">
        <f>CONCATENATE("44715814420")</f>
        <v>44715814420</v>
      </c>
      <c r="I15" s="6" t="s">
        <v>33</v>
      </c>
      <c r="J15" s="6" t="s">
        <v>28</v>
      </c>
      <c r="K15" s="6" t="str">
        <f>CONCATENATE("214")</f>
        <v>214</v>
      </c>
      <c r="L15" s="6" t="str">
        <f>CONCATENATE("11 11.2 4b")</f>
        <v>11 11.2 4b</v>
      </c>
      <c r="M15" s="6" t="str">
        <f>CONCATENATE("01641480437")</f>
        <v>01641480437</v>
      </c>
      <c r="N15" s="6" t="s">
        <v>65</v>
      </c>
      <c r="O15" s="6" t="s">
        <v>47</v>
      </c>
      <c r="P15" s="7">
        <v>42621</v>
      </c>
      <c r="Q15" s="6" t="s">
        <v>29</v>
      </c>
      <c r="R15" s="6" t="s">
        <v>30</v>
      </c>
      <c r="S15" s="6" t="s">
        <v>31</v>
      </c>
      <c r="T15" s="8">
        <v>6790.41</v>
      </c>
      <c r="U15" s="8">
        <v>2928.02</v>
      </c>
      <c r="V15" s="8">
        <v>2703.94</v>
      </c>
      <c r="W15" s="8">
        <v>1158.45</v>
      </c>
    </row>
    <row r="16" spans="1:23" ht="24.75" x14ac:dyDescent="0.25">
      <c r="A16" s="6" t="s">
        <v>24</v>
      </c>
      <c r="B16" s="6" t="s">
        <v>25</v>
      </c>
      <c r="C16" s="6" t="s">
        <v>39</v>
      </c>
      <c r="D16" s="6" t="s">
        <v>48</v>
      </c>
      <c r="E16" s="6" t="s">
        <v>34</v>
      </c>
      <c r="F16" s="6" t="s">
        <v>66</v>
      </c>
      <c r="G16" s="6">
        <v>2014</v>
      </c>
      <c r="H16" s="6" t="str">
        <f>CONCATENATE("44715241780")</f>
        <v>44715241780</v>
      </c>
      <c r="I16" s="6" t="s">
        <v>33</v>
      </c>
      <c r="J16" s="6" t="s">
        <v>28</v>
      </c>
      <c r="K16" s="6" t="str">
        <f>CONCATENATE("214")</f>
        <v>214</v>
      </c>
      <c r="L16" s="6" t="str">
        <f>CONCATENATE("11 11.2 4b")</f>
        <v>11 11.2 4b</v>
      </c>
      <c r="M16" s="6" t="str">
        <f>CONCATENATE("PLMNRN46R13L366G")</f>
        <v>PLMNRN46R13L366G</v>
      </c>
      <c r="N16" s="6" t="s">
        <v>67</v>
      </c>
      <c r="O16" s="6" t="s">
        <v>47</v>
      </c>
      <c r="P16" s="7">
        <v>42621</v>
      </c>
      <c r="Q16" s="6" t="s">
        <v>29</v>
      </c>
      <c r="R16" s="6" t="s">
        <v>30</v>
      </c>
      <c r="S16" s="6" t="s">
        <v>31</v>
      </c>
      <c r="T16" s="8">
        <v>1194.3599999999999</v>
      </c>
      <c r="U16" s="6">
        <v>515.01</v>
      </c>
      <c r="V16" s="6">
        <v>475.59</v>
      </c>
      <c r="W16" s="6">
        <v>203.76</v>
      </c>
    </row>
    <row r="17" spans="1:23" ht="24.75" x14ac:dyDescent="0.25">
      <c r="A17" s="6" t="s">
        <v>24</v>
      </c>
      <c r="B17" s="6" t="s">
        <v>25</v>
      </c>
      <c r="C17" s="6" t="s">
        <v>39</v>
      </c>
      <c r="D17" s="6" t="s">
        <v>48</v>
      </c>
      <c r="E17" s="6" t="s">
        <v>26</v>
      </c>
      <c r="F17" s="6" t="s">
        <v>49</v>
      </c>
      <c r="G17" s="6">
        <v>2014</v>
      </c>
      <c r="H17" s="6" t="str">
        <f>CONCATENATE("44716528805")</f>
        <v>44716528805</v>
      </c>
      <c r="I17" s="6" t="s">
        <v>33</v>
      </c>
      <c r="J17" s="6" t="s">
        <v>28</v>
      </c>
      <c r="K17" s="6" t="str">
        <f>CONCATENATE("214")</f>
        <v>214</v>
      </c>
      <c r="L17" s="6" t="str">
        <f>CONCATENATE("11 11.2 4b")</f>
        <v>11 11.2 4b</v>
      </c>
      <c r="M17" s="6" t="str">
        <f>CONCATENATE("MRTSFN69L58D542O")</f>
        <v>MRTSFN69L58D542O</v>
      </c>
      <c r="N17" s="6" t="s">
        <v>68</v>
      </c>
      <c r="O17" s="6" t="s">
        <v>47</v>
      </c>
      <c r="P17" s="7">
        <v>42621</v>
      </c>
      <c r="Q17" s="6" t="s">
        <v>29</v>
      </c>
      <c r="R17" s="6" t="s">
        <v>30</v>
      </c>
      <c r="S17" s="6" t="s">
        <v>31</v>
      </c>
      <c r="T17" s="6">
        <v>601.63</v>
      </c>
      <c r="U17" s="6">
        <v>259.42</v>
      </c>
      <c r="V17" s="6">
        <v>239.57</v>
      </c>
      <c r="W17" s="6">
        <v>102.64</v>
      </c>
    </row>
    <row r="18" spans="1:23" ht="24.75" x14ac:dyDescent="0.25">
      <c r="A18" s="6" t="s">
        <v>24</v>
      </c>
      <c r="B18" s="6" t="s">
        <v>25</v>
      </c>
      <c r="C18" s="6" t="s">
        <v>39</v>
      </c>
      <c r="D18" s="6" t="s">
        <v>48</v>
      </c>
      <c r="E18" s="6" t="s">
        <v>26</v>
      </c>
      <c r="F18" s="6" t="s">
        <v>64</v>
      </c>
      <c r="G18" s="6">
        <v>2014</v>
      </c>
      <c r="H18" s="6" t="str">
        <f>CONCATENATE("44715735328")</f>
        <v>44715735328</v>
      </c>
      <c r="I18" s="6" t="s">
        <v>33</v>
      </c>
      <c r="J18" s="6" t="s">
        <v>28</v>
      </c>
      <c r="K18" s="6" t="str">
        <f>CONCATENATE("214")</f>
        <v>214</v>
      </c>
      <c r="L18" s="6" t="str">
        <f>CONCATENATE("11 11.2 4b")</f>
        <v>11 11.2 4b</v>
      </c>
      <c r="M18" s="6" t="str">
        <f>CONCATENATE("RVLMRA43B04H501Q")</f>
        <v>RVLMRA43B04H501Q</v>
      </c>
      <c r="N18" s="6" t="s">
        <v>69</v>
      </c>
      <c r="O18" s="6" t="s">
        <v>47</v>
      </c>
      <c r="P18" s="7">
        <v>42621</v>
      </c>
      <c r="Q18" s="6" t="s">
        <v>29</v>
      </c>
      <c r="R18" s="6" t="s">
        <v>30</v>
      </c>
      <c r="S18" s="6" t="s">
        <v>31</v>
      </c>
      <c r="T18" s="8">
        <v>20277.150000000001</v>
      </c>
      <c r="U18" s="8">
        <v>8743.51</v>
      </c>
      <c r="V18" s="8">
        <v>8074.36</v>
      </c>
      <c r="W18" s="8">
        <v>3459.28</v>
      </c>
    </row>
    <row r="19" spans="1:23" ht="24.75" x14ac:dyDescent="0.25">
      <c r="A19" s="6" t="s">
        <v>24</v>
      </c>
      <c r="B19" s="6" t="s">
        <v>25</v>
      </c>
      <c r="C19" s="6" t="s">
        <v>39</v>
      </c>
      <c r="D19" s="6" t="s">
        <v>40</v>
      </c>
      <c r="E19" s="6" t="s">
        <v>32</v>
      </c>
      <c r="F19" s="6" t="s">
        <v>70</v>
      </c>
      <c r="G19" s="6">
        <v>2015</v>
      </c>
      <c r="H19" s="6" t="str">
        <f>CONCATENATE("54745174083")</f>
        <v>54745174083</v>
      </c>
      <c r="I19" s="6" t="s">
        <v>27</v>
      </c>
      <c r="J19" s="6" t="s">
        <v>28</v>
      </c>
      <c r="K19" s="6" t="str">
        <f>CONCATENATE("211")</f>
        <v>211</v>
      </c>
      <c r="L19" s="6" t="str">
        <f>CONCATENATE("13 13.1 4a")</f>
        <v>13 13.1 4a</v>
      </c>
      <c r="M19" s="6" t="str">
        <f>CONCATENATE("CRMPLA63S27I608U")</f>
        <v>CRMPLA63S27I608U</v>
      </c>
      <c r="N19" s="6" t="s">
        <v>71</v>
      </c>
      <c r="O19" s="6" t="s">
        <v>43</v>
      </c>
      <c r="P19" s="7">
        <v>42621</v>
      </c>
      <c r="Q19" s="6" t="s">
        <v>29</v>
      </c>
      <c r="R19" s="6" t="s">
        <v>30</v>
      </c>
      <c r="S19" s="6" t="s">
        <v>31</v>
      </c>
      <c r="T19" s="8">
        <v>1960.28</v>
      </c>
      <c r="U19" s="6">
        <v>845.27</v>
      </c>
      <c r="V19" s="6">
        <v>780.58</v>
      </c>
      <c r="W19" s="6">
        <v>334.43</v>
      </c>
    </row>
    <row r="20" spans="1:23" ht="24.75" x14ac:dyDescent="0.25">
      <c r="A20" s="6" t="s">
        <v>24</v>
      </c>
      <c r="B20" s="6" t="s">
        <v>25</v>
      </c>
      <c r="C20" s="6" t="s">
        <v>39</v>
      </c>
      <c r="D20" s="6" t="s">
        <v>40</v>
      </c>
      <c r="E20" s="6" t="s">
        <v>32</v>
      </c>
      <c r="F20" s="6" t="s">
        <v>70</v>
      </c>
      <c r="G20" s="6">
        <v>2015</v>
      </c>
      <c r="H20" s="6" t="str">
        <f>CONCATENATE("54745031689")</f>
        <v>54745031689</v>
      </c>
      <c r="I20" s="6" t="s">
        <v>27</v>
      </c>
      <c r="J20" s="6" t="s">
        <v>28</v>
      </c>
      <c r="K20" s="6" t="str">
        <f>CONCATENATE("211")</f>
        <v>211</v>
      </c>
      <c r="L20" s="6" t="str">
        <f>CONCATENATE("13 13.1 4a")</f>
        <v>13 13.1 4a</v>
      </c>
      <c r="M20" s="6" t="str">
        <f>CONCATENATE("VSCNZE57H16A668K")</f>
        <v>VSCNZE57H16A668K</v>
      </c>
      <c r="N20" s="6" t="s">
        <v>72</v>
      </c>
      <c r="O20" s="6" t="s">
        <v>43</v>
      </c>
      <c r="P20" s="7">
        <v>42621</v>
      </c>
      <c r="Q20" s="6" t="s">
        <v>29</v>
      </c>
      <c r="R20" s="6" t="s">
        <v>30</v>
      </c>
      <c r="S20" s="6" t="s">
        <v>31</v>
      </c>
      <c r="T20" s="8">
        <v>1890.06</v>
      </c>
      <c r="U20" s="6">
        <v>814.99</v>
      </c>
      <c r="V20" s="6">
        <v>752.62</v>
      </c>
      <c r="W20" s="6">
        <v>322.45</v>
      </c>
    </row>
    <row r="21" spans="1:23" ht="24.75" x14ac:dyDescent="0.25">
      <c r="A21" s="6" t="s">
        <v>24</v>
      </c>
      <c r="B21" s="6" t="s">
        <v>25</v>
      </c>
      <c r="C21" s="6" t="s">
        <v>39</v>
      </c>
      <c r="D21" s="6" t="s">
        <v>48</v>
      </c>
      <c r="E21" s="6" t="s">
        <v>36</v>
      </c>
      <c r="F21" s="6" t="s">
        <v>73</v>
      </c>
      <c r="G21" s="6">
        <v>2015</v>
      </c>
      <c r="H21" s="6" t="str">
        <f>CONCATENATE("54715760051")</f>
        <v>54715760051</v>
      </c>
      <c r="I21" s="6" t="s">
        <v>33</v>
      </c>
      <c r="J21" s="6" t="s">
        <v>28</v>
      </c>
      <c r="K21" s="6" t="str">
        <f>CONCATENATE("214")</f>
        <v>214</v>
      </c>
      <c r="L21" s="6" t="str">
        <f>CONCATENATE("11 11.2 4b")</f>
        <v>11 11.2 4b</v>
      </c>
      <c r="M21" s="6" t="str">
        <f>CONCATENATE("FRRFBA70A16I156B")</f>
        <v>FRRFBA70A16I156B</v>
      </c>
      <c r="N21" s="6" t="s">
        <v>74</v>
      </c>
      <c r="O21" s="6" t="s">
        <v>51</v>
      </c>
      <c r="P21" s="7">
        <v>42621</v>
      </c>
      <c r="Q21" s="6" t="s">
        <v>29</v>
      </c>
      <c r="R21" s="6" t="s">
        <v>30</v>
      </c>
      <c r="S21" s="6" t="s">
        <v>31</v>
      </c>
      <c r="T21" s="8">
        <v>3815.1</v>
      </c>
      <c r="U21" s="8">
        <v>1645.07</v>
      </c>
      <c r="V21" s="8">
        <v>1519.17</v>
      </c>
      <c r="W21" s="6">
        <v>650.86</v>
      </c>
    </row>
    <row r="22" spans="1:23" ht="24.75" x14ac:dyDescent="0.25">
      <c r="A22" s="6" t="s">
        <v>24</v>
      </c>
      <c r="B22" s="6" t="s">
        <v>25</v>
      </c>
      <c r="C22" s="6" t="s">
        <v>39</v>
      </c>
      <c r="D22" s="6" t="s">
        <v>40</v>
      </c>
      <c r="E22" s="6" t="s">
        <v>32</v>
      </c>
      <c r="F22" s="6" t="s">
        <v>70</v>
      </c>
      <c r="G22" s="6">
        <v>2015</v>
      </c>
      <c r="H22" s="6" t="str">
        <f>CONCATENATE("54745099884")</f>
        <v>54745099884</v>
      </c>
      <c r="I22" s="6" t="s">
        <v>27</v>
      </c>
      <c r="J22" s="6" t="s">
        <v>28</v>
      </c>
      <c r="K22" s="6" t="str">
        <f>CONCATENATE("211")</f>
        <v>211</v>
      </c>
      <c r="L22" s="6" t="str">
        <f>CONCATENATE("13 13.1 4a")</f>
        <v>13 13.1 4a</v>
      </c>
      <c r="M22" s="6" t="str">
        <f>CONCATENATE("TRSSRG50R09G453O")</f>
        <v>TRSSRG50R09G453O</v>
      </c>
      <c r="N22" s="6" t="s">
        <v>75</v>
      </c>
      <c r="O22" s="6" t="s">
        <v>43</v>
      </c>
      <c r="P22" s="7">
        <v>42621</v>
      </c>
      <c r="Q22" s="6" t="s">
        <v>29</v>
      </c>
      <c r="R22" s="6" t="s">
        <v>30</v>
      </c>
      <c r="S22" s="6" t="s">
        <v>31</v>
      </c>
      <c r="T22" s="8">
        <v>4977.37</v>
      </c>
      <c r="U22" s="8">
        <v>2146.2399999999998</v>
      </c>
      <c r="V22" s="8">
        <v>1981.99</v>
      </c>
      <c r="W22" s="6">
        <v>849.14</v>
      </c>
    </row>
    <row r="23" spans="1:23" ht="24.75" x14ac:dyDescent="0.25">
      <c r="A23" s="6" t="s">
        <v>24</v>
      </c>
      <c r="B23" s="6" t="s">
        <v>25</v>
      </c>
      <c r="C23" s="6" t="s">
        <v>39</v>
      </c>
      <c r="D23" s="6" t="s">
        <v>40</v>
      </c>
      <c r="E23" s="6" t="s">
        <v>32</v>
      </c>
      <c r="F23" s="6" t="s">
        <v>70</v>
      </c>
      <c r="G23" s="6">
        <v>2015</v>
      </c>
      <c r="H23" s="6" t="str">
        <f>CONCATENATE("54745156072")</f>
        <v>54745156072</v>
      </c>
      <c r="I23" s="6" t="s">
        <v>27</v>
      </c>
      <c r="J23" s="6" t="s">
        <v>28</v>
      </c>
      <c r="K23" s="6" t="str">
        <f>CONCATENATE("213")</f>
        <v>213</v>
      </c>
      <c r="L23" s="6" t="str">
        <f>CONCATENATE("12 12.1 4a")</f>
        <v>12 12.1 4a</v>
      </c>
      <c r="M23" s="6" t="str">
        <f>CONCATENATE("BSSGDI83R56E388J")</f>
        <v>BSSGDI83R56E388J</v>
      </c>
      <c r="N23" s="6" t="s">
        <v>76</v>
      </c>
      <c r="O23" s="6" t="s">
        <v>77</v>
      </c>
      <c r="P23" s="7">
        <v>42632</v>
      </c>
      <c r="Q23" s="6" t="s">
        <v>29</v>
      </c>
      <c r="R23" s="6" t="s">
        <v>30</v>
      </c>
      <c r="S23" s="6" t="s">
        <v>31</v>
      </c>
      <c r="T23" s="8">
        <v>13812.89</v>
      </c>
      <c r="U23" s="8">
        <v>5956.12</v>
      </c>
      <c r="V23" s="8">
        <v>5500.29</v>
      </c>
      <c r="W23" s="8">
        <v>2356.48</v>
      </c>
    </row>
    <row r="24" spans="1:23" ht="24.75" x14ac:dyDescent="0.25">
      <c r="A24" s="6" t="s">
        <v>24</v>
      </c>
      <c r="B24" s="6" t="s">
        <v>25</v>
      </c>
      <c r="C24" s="6" t="s">
        <v>39</v>
      </c>
      <c r="D24" s="6" t="s">
        <v>78</v>
      </c>
      <c r="E24" s="6" t="s">
        <v>35</v>
      </c>
      <c r="F24" s="6" t="s">
        <v>79</v>
      </c>
      <c r="G24" s="6">
        <v>2013</v>
      </c>
      <c r="H24" s="6" t="str">
        <f>CONCATENATE("34740297295")</f>
        <v>34740297295</v>
      </c>
      <c r="I24" s="6" t="s">
        <v>33</v>
      </c>
      <c r="J24" s="6" t="s">
        <v>28</v>
      </c>
      <c r="K24" s="6" t="str">
        <f>CONCATENATE("211")</f>
        <v>211</v>
      </c>
      <c r="L24" s="6" t="str">
        <f>CONCATENATE("13 13.1 4a")</f>
        <v>13 13.1 4a</v>
      </c>
      <c r="M24" s="6" t="str">
        <f>CONCATENATE("PSCFLC52T60F570V")</f>
        <v>PSCFLC52T60F570V</v>
      </c>
      <c r="N24" s="6" t="s">
        <v>80</v>
      </c>
      <c r="O24" s="6" t="s">
        <v>81</v>
      </c>
      <c r="P24" s="7">
        <v>42136</v>
      </c>
      <c r="Q24" s="6" t="s">
        <v>29</v>
      </c>
      <c r="R24" s="6" t="s">
        <v>30</v>
      </c>
      <c r="S24" s="6" t="s">
        <v>31</v>
      </c>
      <c r="T24" s="8">
        <v>2545.8000000000002</v>
      </c>
      <c r="U24" s="8">
        <v>1097.75</v>
      </c>
      <c r="V24" s="8">
        <v>1013.74</v>
      </c>
      <c r="W24" s="6">
        <v>434.31</v>
      </c>
    </row>
    <row r="25" spans="1:23" ht="24.75" x14ac:dyDescent="0.25">
      <c r="A25" s="6" t="s">
        <v>24</v>
      </c>
      <c r="B25" s="6" t="s">
        <v>25</v>
      </c>
      <c r="C25" s="6" t="s">
        <v>39</v>
      </c>
      <c r="D25" s="6" t="s">
        <v>40</v>
      </c>
      <c r="E25" s="6" t="s">
        <v>26</v>
      </c>
      <c r="F25" s="6" t="s">
        <v>41</v>
      </c>
      <c r="G25" s="6">
        <v>2015</v>
      </c>
      <c r="H25" s="6" t="str">
        <f>CONCATENATE("54745048147")</f>
        <v>54745048147</v>
      </c>
      <c r="I25" s="6" t="s">
        <v>27</v>
      </c>
      <c r="J25" s="6" t="s">
        <v>28</v>
      </c>
      <c r="K25" s="6" t="str">
        <f>CONCATENATE("211")</f>
        <v>211</v>
      </c>
      <c r="L25" s="6" t="str">
        <f>CONCATENATE("13 13.1 4a")</f>
        <v>13 13.1 4a</v>
      </c>
      <c r="M25" s="6" t="str">
        <f>CONCATENATE("CRLLCN56B27G453Q")</f>
        <v>CRLLCN56B27G453Q</v>
      </c>
      <c r="N25" s="6" t="s">
        <v>82</v>
      </c>
      <c r="O25" s="6" t="s">
        <v>43</v>
      </c>
      <c r="P25" s="7">
        <v>42621</v>
      </c>
      <c r="Q25" s="6" t="s">
        <v>29</v>
      </c>
      <c r="R25" s="6" t="s">
        <v>30</v>
      </c>
      <c r="S25" s="6" t="s">
        <v>31</v>
      </c>
      <c r="T25" s="8">
        <v>7704.7</v>
      </c>
      <c r="U25" s="8">
        <v>3322.27</v>
      </c>
      <c r="V25" s="8">
        <v>3068.01</v>
      </c>
      <c r="W25" s="8">
        <v>1314.42</v>
      </c>
    </row>
    <row r="26" spans="1:23" ht="24.75" x14ac:dyDescent="0.25">
      <c r="A26" s="6" t="s">
        <v>24</v>
      </c>
      <c r="B26" s="6" t="s">
        <v>25</v>
      </c>
      <c r="C26" s="6" t="s">
        <v>39</v>
      </c>
      <c r="D26" s="6" t="s">
        <v>48</v>
      </c>
      <c r="E26" s="6" t="s">
        <v>36</v>
      </c>
      <c r="F26" s="6" t="s">
        <v>83</v>
      </c>
      <c r="G26" s="6">
        <v>2014</v>
      </c>
      <c r="H26" s="6" t="str">
        <f>CONCATENATE("44715762173")</f>
        <v>44715762173</v>
      </c>
      <c r="I26" s="6" t="s">
        <v>33</v>
      </c>
      <c r="J26" s="6" t="s">
        <v>28</v>
      </c>
      <c r="K26" s="6" t="str">
        <f>CONCATENATE("214")</f>
        <v>214</v>
      </c>
      <c r="L26" s="6" t="str">
        <f>CONCATENATE("11 11.2 4b")</f>
        <v>11 11.2 4b</v>
      </c>
      <c r="M26" s="6" t="str">
        <f>CONCATENATE("01597000437")</f>
        <v>01597000437</v>
      </c>
      <c r="N26" s="6" t="s">
        <v>84</v>
      </c>
      <c r="O26" s="6" t="s">
        <v>47</v>
      </c>
      <c r="P26" s="7">
        <v>42621</v>
      </c>
      <c r="Q26" s="6" t="s">
        <v>29</v>
      </c>
      <c r="R26" s="6" t="s">
        <v>30</v>
      </c>
      <c r="S26" s="6" t="s">
        <v>31</v>
      </c>
      <c r="T26" s="8">
        <v>2503.67</v>
      </c>
      <c r="U26" s="8">
        <v>1079.58</v>
      </c>
      <c r="V26" s="6">
        <v>996.96</v>
      </c>
      <c r="W26" s="6">
        <v>427.13</v>
      </c>
    </row>
    <row r="27" spans="1:23" ht="24.75" x14ac:dyDescent="0.25">
      <c r="A27" s="6" t="s">
        <v>24</v>
      </c>
      <c r="B27" s="6" t="s">
        <v>25</v>
      </c>
      <c r="C27" s="6" t="s">
        <v>39</v>
      </c>
      <c r="D27" s="6" t="s">
        <v>48</v>
      </c>
      <c r="E27" s="6" t="s">
        <v>26</v>
      </c>
      <c r="F27" s="6" t="s">
        <v>64</v>
      </c>
      <c r="G27" s="6">
        <v>2015</v>
      </c>
      <c r="H27" s="6" t="str">
        <f>CONCATENATE("54745275245")</f>
        <v>54745275245</v>
      </c>
      <c r="I27" s="6" t="s">
        <v>27</v>
      </c>
      <c r="J27" s="6" t="s">
        <v>28</v>
      </c>
      <c r="K27" s="6" t="str">
        <f>CONCATENATE("211")</f>
        <v>211</v>
      </c>
      <c r="L27" s="6" t="str">
        <f>CONCATENATE("13 13.1 4a")</f>
        <v>13 13.1 4a</v>
      </c>
      <c r="M27" s="6" t="str">
        <f>CONCATENATE("PNTGLN68L15F460L")</f>
        <v>PNTGLN68L15F460L</v>
      </c>
      <c r="N27" s="6" t="s">
        <v>85</v>
      </c>
      <c r="O27" s="6" t="s">
        <v>43</v>
      </c>
      <c r="P27" s="7">
        <v>42621</v>
      </c>
      <c r="Q27" s="6" t="s">
        <v>29</v>
      </c>
      <c r="R27" s="6" t="s">
        <v>30</v>
      </c>
      <c r="S27" s="6" t="s">
        <v>31</v>
      </c>
      <c r="T27" s="8">
        <v>8722.49</v>
      </c>
      <c r="U27" s="8">
        <v>3761.14</v>
      </c>
      <c r="V27" s="8">
        <v>3473.3</v>
      </c>
      <c r="W27" s="8">
        <v>1488.05</v>
      </c>
    </row>
    <row r="28" spans="1:23" ht="24.75" x14ac:dyDescent="0.25">
      <c r="A28" s="6" t="s">
        <v>24</v>
      </c>
      <c r="B28" s="6" t="s">
        <v>25</v>
      </c>
      <c r="C28" s="6" t="s">
        <v>39</v>
      </c>
      <c r="D28" s="6" t="s">
        <v>48</v>
      </c>
      <c r="E28" s="6" t="s">
        <v>32</v>
      </c>
      <c r="F28" s="6" t="s">
        <v>56</v>
      </c>
      <c r="G28" s="6">
        <v>2015</v>
      </c>
      <c r="H28" s="6" t="str">
        <f>CONCATENATE("54715263387")</f>
        <v>54715263387</v>
      </c>
      <c r="I28" s="6" t="s">
        <v>33</v>
      </c>
      <c r="J28" s="6" t="s">
        <v>28</v>
      </c>
      <c r="K28" s="6" t="str">
        <f>CONCATENATE("214")</f>
        <v>214</v>
      </c>
      <c r="L28" s="6" t="str">
        <f>CONCATENATE("11 11.2 4b")</f>
        <v>11 11.2 4b</v>
      </c>
      <c r="M28" s="6" t="str">
        <f>CONCATENATE("LNZRCR47H28I726T")</f>
        <v>LNZRCR47H28I726T</v>
      </c>
      <c r="N28" s="6" t="s">
        <v>86</v>
      </c>
      <c r="O28" s="6" t="s">
        <v>51</v>
      </c>
      <c r="P28" s="7">
        <v>42621</v>
      </c>
      <c r="Q28" s="6" t="s">
        <v>29</v>
      </c>
      <c r="R28" s="6" t="s">
        <v>30</v>
      </c>
      <c r="S28" s="6" t="s">
        <v>31</v>
      </c>
      <c r="T28" s="6">
        <v>138.44999999999999</v>
      </c>
      <c r="U28" s="6">
        <v>59.7</v>
      </c>
      <c r="V28" s="6">
        <v>55.13</v>
      </c>
      <c r="W28" s="6">
        <v>23.62</v>
      </c>
    </row>
    <row r="29" spans="1:23" ht="24.75" x14ac:dyDescent="0.25">
      <c r="A29" s="6" t="s">
        <v>24</v>
      </c>
      <c r="B29" s="6" t="s">
        <v>25</v>
      </c>
      <c r="C29" s="6" t="s">
        <v>39</v>
      </c>
      <c r="D29" s="6" t="s">
        <v>40</v>
      </c>
      <c r="E29" s="6" t="s">
        <v>26</v>
      </c>
      <c r="F29" s="6" t="s">
        <v>52</v>
      </c>
      <c r="G29" s="6">
        <v>2015</v>
      </c>
      <c r="H29" s="6" t="str">
        <f>CONCATENATE("54745051398")</f>
        <v>54745051398</v>
      </c>
      <c r="I29" s="6" t="s">
        <v>27</v>
      </c>
      <c r="J29" s="6" t="s">
        <v>28</v>
      </c>
      <c r="K29" s="6" t="str">
        <f>CONCATENATE("211")</f>
        <v>211</v>
      </c>
      <c r="L29" s="6" t="str">
        <f>CONCATENATE("13 13.1 4a")</f>
        <v>13 13.1 4a</v>
      </c>
      <c r="M29" s="6" t="str">
        <f>CONCATENATE("GRSGPP45M14D749Z")</f>
        <v>GRSGPP45M14D749Z</v>
      </c>
      <c r="N29" s="6" t="s">
        <v>87</v>
      </c>
      <c r="O29" s="6" t="s">
        <v>43</v>
      </c>
      <c r="P29" s="7">
        <v>42621</v>
      </c>
      <c r="Q29" s="6" t="s">
        <v>29</v>
      </c>
      <c r="R29" s="6" t="s">
        <v>30</v>
      </c>
      <c r="S29" s="6" t="s">
        <v>31</v>
      </c>
      <c r="T29" s="8">
        <v>1906.92</v>
      </c>
      <c r="U29" s="6">
        <v>822.26</v>
      </c>
      <c r="V29" s="6">
        <v>759.34</v>
      </c>
      <c r="W29" s="6">
        <v>325.32</v>
      </c>
    </row>
    <row r="30" spans="1:23" ht="24.75" x14ac:dyDescent="0.25">
      <c r="A30" s="6" t="s">
        <v>24</v>
      </c>
      <c r="B30" s="6" t="s">
        <v>25</v>
      </c>
      <c r="C30" s="6" t="s">
        <v>39</v>
      </c>
      <c r="D30" s="6" t="s">
        <v>40</v>
      </c>
      <c r="E30" s="6" t="s">
        <v>26</v>
      </c>
      <c r="F30" s="6" t="s">
        <v>88</v>
      </c>
      <c r="G30" s="6">
        <v>2015</v>
      </c>
      <c r="H30" s="6" t="str">
        <f>CONCATENATE("54745361730")</f>
        <v>54745361730</v>
      </c>
      <c r="I30" s="6" t="s">
        <v>33</v>
      </c>
      <c r="J30" s="6" t="s">
        <v>28</v>
      </c>
      <c r="K30" s="6" t="str">
        <f>CONCATENATE("211")</f>
        <v>211</v>
      </c>
      <c r="L30" s="6" t="str">
        <f>CONCATENATE("13 13.1 4a")</f>
        <v>13 13.1 4a</v>
      </c>
      <c r="M30" s="6" t="str">
        <f>CONCATENATE("02030490417")</f>
        <v>02030490417</v>
      </c>
      <c r="N30" s="6" t="s">
        <v>89</v>
      </c>
      <c r="O30" s="6" t="s">
        <v>43</v>
      </c>
      <c r="P30" s="7">
        <v>42621</v>
      </c>
      <c r="Q30" s="6" t="s">
        <v>29</v>
      </c>
      <c r="R30" s="6" t="s">
        <v>30</v>
      </c>
      <c r="S30" s="6" t="s">
        <v>31</v>
      </c>
      <c r="T30" s="8">
        <v>9061.7199999999993</v>
      </c>
      <c r="U30" s="8">
        <v>3907.41</v>
      </c>
      <c r="V30" s="8">
        <v>3608.38</v>
      </c>
      <c r="W30" s="8">
        <v>1545.93</v>
      </c>
    </row>
    <row r="31" spans="1:23" ht="24.75" x14ac:dyDescent="0.25">
      <c r="A31" s="6" t="s">
        <v>24</v>
      </c>
      <c r="B31" s="6" t="s">
        <v>25</v>
      </c>
      <c r="C31" s="6" t="s">
        <v>39</v>
      </c>
      <c r="D31" s="6" t="s">
        <v>48</v>
      </c>
      <c r="E31" s="6" t="s">
        <v>26</v>
      </c>
      <c r="F31" s="6" t="s">
        <v>49</v>
      </c>
      <c r="G31" s="6">
        <v>2014</v>
      </c>
      <c r="H31" s="6" t="str">
        <f>CONCATENATE("44715829550")</f>
        <v>44715829550</v>
      </c>
      <c r="I31" s="6" t="s">
        <v>33</v>
      </c>
      <c r="J31" s="6" t="s">
        <v>28</v>
      </c>
      <c r="K31" s="6" t="str">
        <f>CONCATENATE("214")</f>
        <v>214</v>
      </c>
      <c r="L31" s="6" t="str">
        <f>CONCATENATE("10 10.1 4a")</f>
        <v>10 10.1 4a</v>
      </c>
      <c r="M31" s="6" t="str">
        <f>CONCATENATE("01741610438")</f>
        <v>01741610438</v>
      </c>
      <c r="N31" s="6" t="s">
        <v>90</v>
      </c>
      <c r="O31" s="6" t="s">
        <v>47</v>
      </c>
      <c r="P31" s="7">
        <v>42621</v>
      </c>
      <c r="Q31" s="6" t="s">
        <v>29</v>
      </c>
      <c r="R31" s="6" t="s">
        <v>30</v>
      </c>
      <c r="S31" s="6" t="s">
        <v>31</v>
      </c>
      <c r="T31" s="8">
        <v>1018.16</v>
      </c>
      <c r="U31" s="6">
        <v>439.03</v>
      </c>
      <c r="V31" s="6">
        <v>405.43</v>
      </c>
      <c r="W31" s="6">
        <v>173.7</v>
      </c>
    </row>
    <row r="32" spans="1:23" ht="24.75" x14ac:dyDescent="0.25">
      <c r="A32" s="6" t="s">
        <v>24</v>
      </c>
      <c r="B32" s="6" t="s">
        <v>25</v>
      </c>
      <c r="C32" s="6" t="s">
        <v>39</v>
      </c>
      <c r="D32" s="6" t="s">
        <v>44</v>
      </c>
      <c r="E32" s="6" t="s">
        <v>26</v>
      </c>
      <c r="F32" s="6" t="s">
        <v>91</v>
      </c>
      <c r="G32" s="6">
        <v>2015</v>
      </c>
      <c r="H32" s="6" t="str">
        <f>CONCATENATE("54745306727")</f>
        <v>54745306727</v>
      </c>
      <c r="I32" s="6" t="s">
        <v>33</v>
      </c>
      <c r="J32" s="6" t="s">
        <v>28</v>
      </c>
      <c r="K32" s="6" t="str">
        <f>CONCATENATE("213")</f>
        <v>213</v>
      </c>
      <c r="L32" s="6" t="str">
        <f>CONCATENATE("12 12.1 4a")</f>
        <v>12 12.1 4a</v>
      </c>
      <c r="M32" s="6" t="str">
        <f>CONCATENATE("RSSPRZ51E50B468U")</f>
        <v>RSSPRZ51E50B468U</v>
      </c>
      <c r="N32" s="6" t="s">
        <v>92</v>
      </c>
      <c r="O32" s="6" t="s">
        <v>93</v>
      </c>
      <c r="P32" s="7">
        <v>42621</v>
      </c>
      <c r="Q32" s="6" t="s">
        <v>29</v>
      </c>
      <c r="R32" s="6" t="s">
        <v>30</v>
      </c>
      <c r="S32" s="6" t="s">
        <v>31</v>
      </c>
      <c r="T32" s="6">
        <v>173.66</v>
      </c>
      <c r="U32" s="6">
        <v>74.88</v>
      </c>
      <c r="V32" s="6">
        <v>69.150000000000006</v>
      </c>
      <c r="W32" s="6">
        <v>29.63</v>
      </c>
    </row>
    <row r="33" spans="1:23" ht="24.75" x14ac:dyDescent="0.25">
      <c r="A33" s="6" t="s">
        <v>24</v>
      </c>
      <c r="B33" s="6" t="s">
        <v>25</v>
      </c>
      <c r="C33" s="6" t="s">
        <v>39</v>
      </c>
      <c r="D33" s="6" t="s">
        <v>40</v>
      </c>
      <c r="E33" s="6" t="s">
        <v>26</v>
      </c>
      <c r="F33" s="6" t="s">
        <v>59</v>
      </c>
      <c r="G33" s="6">
        <v>2015</v>
      </c>
      <c r="H33" s="6" t="str">
        <f>CONCATENATE("54745060795")</f>
        <v>54745060795</v>
      </c>
      <c r="I33" s="6" t="s">
        <v>27</v>
      </c>
      <c r="J33" s="6" t="s">
        <v>28</v>
      </c>
      <c r="K33" s="6" t="str">
        <f>CONCATENATE("211")</f>
        <v>211</v>
      </c>
      <c r="L33" s="6" t="str">
        <f>CONCATENATE("13 13.1 4a")</f>
        <v>13 13.1 4a</v>
      </c>
      <c r="M33" s="6" t="str">
        <f>CONCATENATE("00984410415")</f>
        <v>00984410415</v>
      </c>
      <c r="N33" s="6" t="s">
        <v>94</v>
      </c>
      <c r="O33" s="6" t="s">
        <v>43</v>
      </c>
      <c r="P33" s="7">
        <v>42621</v>
      </c>
      <c r="Q33" s="6" t="s">
        <v>29</v>
      </c>
      <c r="R33" s="6" t="s">
        <v>30</v>
      </c>
      <c r="S33" s="6" t="s">
        <v>31</v>
      </c>
      <c r="T33" s="8">
        <v>12000</v>
      </c>
      <c r="U33" s="8">
        <v>5174.3999999999996</v>
      </c>
      <c r="V33" s="8">
        <v>4778.3999999999996</v>
      </c>
      <c r="W33" s="8">
        <v>2047.2</v>
      </c>
    </row>
    <row r="34" spans="1:23" ht="24.75" x14ac:dyDescent="0.25">
      <c r="A34" s="6" t="s">
        <v>24</v>
      </c>
      <c r="B34" s="6" t="s">
        <v>25</v>
      </c>
      <c r="C34" s="6" t="s">
        <v>39</v>
      </c>
      <c r="D34" s="6" t="s">
        <v>40</v>
      </c>
      <c r="E34" s="6" t="s">
        <v>35</v>
      </c>
      <c r="F34" s="6" t="s">
        <v>95</v>
      </c>
      <c r="G34" s="6">
        <v>2015</v>
      </c>
      <c r="H34" s="6" t="str">
        <f>CONCATENATE("54745119187")</f>
        <v>54745119187</v>
      </c>
      <c r="I34" s="6" t="s">
        <v>27</v>
      </c>
      <c r="J34" s="6" t="s">
        <v>28</v>
      </c>
      <c r="K34" s="6" t="str">
        <f>CONCATENATE("211")</f>
        <v>211</v>
      </c>
      <c r="L34" s="6" t="str">
        <f>CONCATENATE("13 13.1 4a")</f>
        <v>13 13.1 4a</v>
      </c>
      <c r="M34" s="6" t="str">
        <f>CONCATENATE("FNCFRZ69B07D749Z")</f>
        <v>FNCFRZ69B07D749Z</v>
      </c>
      <c r="N34" s="6" t="s">
        <v>96</v>
      </c>
      <c r="O34" s="6" t="s">
        <v>43</v>
      </c>
      <c r="P34" s="7">
        <v>42621</v>
      </c>
      <c r="Q34" s="6" t="s">
        <v>29</v>
      </c>
      <c r="R34" s="6" t="s">
        <v>30</v>
      </c>
      <c r="S34" s="6" t="s">
        <v>31</v>
      </c>
      <c r="T34" s="8">
        <v>4857.51</v>
      </c>
      <c r="U34" s="8">
        <v>2094.56</v>
      </c>
      <c r="V34" s="8">
        <v>1934.26</v>
      </c>
      <c r="W34" s="6">
        <v>828.69</v>
      </c>
    </row>
    <row r="35" spans="1:23" ht="24.75" x14ac:dyDescent="0.25">
      <c r="A35" s="6" t="s">
        <v>24</v>
      </c>
      <c r="B35" s="6" t="s">
        <v>37</v>
      </c>
      <c r="C35" s="6" t="s">
        <v>39</v>
      </c>
      <c r="D35" s="6" t="s">
        <v>78</v>
      </c>
      <c r="E35" s="6" t="s">
        <v>38</v>
      </c>
      <c r="F35" s="6" t="s">
        <v>38</v>
      </c>
      <c r="G35" s="6">
        <v>2008</v>
      </c>
      <c r="H35" s="6" t="str">
        <f>CONCATENATE("84758367969")</f>
        <v>84758367969</v>
      </c>
      <c r="I35" s="6" t="s">
        <v>33</v>
      </c>
      <c r="J35" s="6" t="s">
        <v>28</v>
      </c>
      <c r="K35" s="6" t="str">
        <f>CONCATENATE("226")</f>
        <v>226</v>
      </c>
      <c r="L35" s="6" t="str">
        <f>CONCATENATE("8 8.3 5e")</f>
        <v>8 8.3 5e</v>
      </c>
      <c r="M35" s="6" t="str">
        <f>CONCATENATE("02227590441")</f>
        <v>02227590441</v>
      </c>
      <c r="N35" s="6" t="s">
        <v>97</v>
      </c>
      <c r="O35" s="6" t="s">
        <v>98</v>
      </c>
      <c r="P35" s="7">
        <v>42621</v>
      </c>
      <c r="Q35" s="6" t="s">
        <v>29</v>
      </c>
      <c r="R35" s="6" t="s">
        <v>30</v>
      </c>
      <c r="S35" s="6" t="s">
        <v>31</v>
      </c>
      <c r="T35" s="8">
        <v>55280.04</v>
      </c>
      <c r="U35" s="8">
        <v>23836.75</v>
      </c>
      <c r="V35" s="8">
        <v>22012.51</v>
      </c>
      <c r="W35" s="8">
        <v>9430.7800000000007</v>
      </c>
    </row>
    <row r="36" spans="1:23" ht="24.75" x14ac:dyDescent="0.25">
      <c r="A36" s="6" t="s">
        <v>24</v>
      </c>
      <c r="B36" s="6" t="s">
        <v>25</v>
      </c>
      <c r="C36" s="6" t="s">
        <v>39</v>
      </c>
      <c r="D36" s="6" t="s">
        <v>40</v>
      </c>
      <c r="E36" s="6" t="s">
        <v>36</v>
      </c>
      <c r="F36" s="6" t="s">
        <v>99</v>
      </c>
      <c r="G36" s="6">
        <v>2015</v>
      </c>
      <c r="H36" s="6" t="str">
        <f>CONCATENATE("54745373362")</f>
        <v>54745373362</v>
      </c>
      <c r="I36" s="6" t="s">
        <v>27</v>
      </c>
      <c r="J36" s="6" t="s">
        <v>28</v>
      </c>
      <c r="K36" s="6" t="str">
        <f>CONCATENATE("211")</f>
        <v>211</v>
      </c>
      <c r="L36" s="6" t="str">
        <f>CONCATENATE("13 13.1 4a")</f>
        <v>13 13.1 4a</v>
      </c>
      <c r="M36" s="6" t="str">
        <f>CONCATENATE("FLMLCU74B57D749K")</f>
        <v>FLMLCU74B57D749K</v>
      </c>
      <c r="N36" s="6" t="s">
        <v>100</v>
      </c>
      <c r="O36" s="6" t="s">
        <v>43</v>
      </c>
      <c r="P36" s="7">
        <v>42621</v>
      </c>
      <c r="Q36" s="6" t="s">
        <v>29</v>
      </c>
      <c r="R36" s="6" t="s">
        <v>30</v>
      </c>
      <c r="S36" s="6" t="s">
        <v>31</v>
      </c>
      <c r="T36" s="8">
        <v>1809.8</v>
      </c>
      <c r="U36" s="6">
        <v>780.39</v>
      </c>
      <c r="V36" s="6">
        <v>720.66</v>
      </c>
      <c r="W36" s="6">
        <v>308.75</v>
      </c>
    </row>
    <row r="37" spans="1:23" ht="24.75" x14ac:dyDescent="0.25">
      <c r="A37" s="6" t="s">
        <v>24</v>
      </c>
      <c r="B37" s="6" t="s">
        <v>25</v>
      </c>
      <c r="C37" s="6" t="s">
        <v>39</v>
      </c>
      <c r="D37" s="6" t="s">
        <v>44</v>
      </c>
      <c r="E37" s="6" t="s">
        <v>26</v>
      </c>
      <c r="F37" s="6" t="s">
        <v>101</v>
      </c>
      <c r="G37" s="6">
        <v>2014</v>
      </c>
      <c r="H37" s="6" t="str">
        <f>CONCATENATE("44715332951")</f>
        <v>44715332951</v>
      </c>
      <c r="I37" s="6" t="s">
        <v>33</v>
      </c>
      <c r="J37" s="6" t="s">
        <v>28</v>
      </c>
      <c r="K37" s="6" t="str">
        <f>CONCATENATE("214")</f>
        <v>214</v>
      </c>
      <c r="L37" s="6" t="str">
        <f>CONCATENATE("11 11.2 4b")</f>
        <v>11 11.2 4b</v>
      </c>
      <c r="M37" s="6" t="str">
        <f>CONCATENATE("TRTLRS50S46A895L")</f>
        <v>TRTLRS50S46A895L</v>
      </c>
      <c r="N37" s="6" t="s">
        <v>102</v>
      </c>
      <c r="O37" s="6" t="s">
        <v>47</v>
      </c>
      <c r="P37" s="7">
        <v>42621</v>
      </c>
      <c r="Q37" s="6" t="s">
        <v>29</v>
      </c>
      <c r="R37" s="6" t="s">
        <v>30</v>
      </c>
      <c r="S37" s="6" t="s">
        <v>31</v>
      </c>
      <c r="T37" s="8">
        <v>1962.21</v>
      </c>
      <c r="U37" s="6">
        <v>846.1</v>
      </c>
      <c r="V37" s="6">
        <v>781.35</v>
      </c>
      <c r="W37" s="6">
        <v>334.76</v>
      </c>
    </row>
    <row r="38" spans="1:23" ht="24.75" x14ac:dyDescent="0.25">
      <c r="A38" s="6" t="s">
        <v>24</v>
      </c>
      <c r="B38" s="6" t="s">
        <v>25</v>
      </c>
      <c r="C38" s="6" t="s">
        <v>39</v>
      </c>
      <c r="D38" s="6" t="s">
        <v>40</v>
      </c>
      <c r="E38" s="6" t="s">
        <v>26</v>
      </c>
      <c r="F38" s="6" t="s">
        <v>41</v>
      </c>
      <c r="G38" s="6">
        <v>2015</v>
      </c>
      <c r="H38" s="6" t="str">
        <f>CONCATENATE("54745265238")</f>
        <v>54745265238</v>
      </c>
      <c r="I38" s="6" t="s">
        <v>27</v>
      </c>
      <c r="J38" s="6" t="s">
        <v>28</v>
      </c>
      <c r="K38" s="6" t="str">
        <f>CONCATENATE("211")</f>
        <v>211</v>
      </c>
      <c r="L38" s="6" t="str">
        <f>CONCATENATE("13 13.1 4a")</f>
        <v>13 13.1 4a</v>
      </c>
      <c r="M38" s="6" t="str">
        <f>CONCATENATE("BCCMRA58T17G453D")</f>
        <v>BCCMRA58T17G453D</v>
      </c>
      <c r="N38" s="6" t="s">
        <v>103</v>
      </c>
      <c r="O38" s="6" t="s">
        <v>43</v>
      </c>
      <c r="P38" s="7">
        <v>42621</v>
      </c>
      <c r="Q38" s="6" t="s">
        <v>29</v>
      </c>
      <c r="R38" s="6" t="s">
        <v>30</v>
      </c>
      <c r="S38" s="6" t="s">
        <v>31</v>
      </c>
      <c r="T38" s="8">
        <v>4323.83</v>
      </c>
      <c r="U38" s="8">
        <v>1864.44</v>
      </c>
      <c r="V38" s="8">
        <v>1721.75</v>
      </c>
      <c r="W38" s="6">
        <v>737.64</v>
      </c>
    </row>
    <row r="39" spans="1:23" ht="24.75" x14ac:dyDescent="0.25">
      <c r="A39" s="6" t="s">
        <v>24</v>
      </c>
      <c r="B39" s="6" t="s">
        <v>25</v>
      </c>
      <c r="C39" s="6" t="s">
        <v>39</v>
      </c>
      <c r="D39" s="6" t="s">
        <v>40</v>
      </c>
      <c r="E39" s="6" t="s">
        <v>26</v>
      </c>
      <c r="F39" s="6" t="s">
        <v>41</v>
      </c>
      <c r="G39" s="6">
        <v>2015</v>
      </c>
      <c r="H39" s="6" t="str">
        <f>CONCATENATE("54745345485")</f>
        <v>54745345485</v>
      </c>
      <c r="I39" s="6" t="s">
        <v>27</v>
      </c>
      <c r="J39" s="6" t="s">
        <v>28</v>
      </c>
      <c r="K39" s="6" t="str">
        <f>CONCATENATE("211")</f>
        <v>211</v>
      </c>
      <c r="L39" s="6" t="str">
        <f>CONCATENATE("13 13.1 4a")</f>
        <v>13 13.1 4a</v>
      </c>
      <c r="M39" s="6" t="str">
        <f>CONCATENATE("DCRGFR77C04D007I")</f>
        <v>DCRGFR77C04D007I</v>
      </c>
      <c r="N39" s="6" t="s">
        <v>104</v>
      </c>
      <c r="O39" s="6" t="s">
        <v>43</v>
      </c>
      <c r="P39" s="7">
        <v>42621</v>
      </c>
      <c r="Q39" s="6" t="s">
        <v>29</v>
      </c>
      <c r="R39" s="6" t="s">
        <v>30</v>
      </c>
      <c r="S39" s="6" t="s">
        <v>31</v>
      </c>
      <c r="T39" s="8">
        <v>3567.26</v>
      </c>
      <c r="U39" s="8">
        <v>1538.2</v>
      </c>
      <c r="V39" s="8">
        <v>1420.48</v>
      </c>
      <c r="W39" s="6">
        <v>608.58000000000004</v>
      </c>
    </row>
    <row r="40" spans="1:23" ht="24.75" x14ac:dyDescent="0.25">
      <c r="A40" s="6" t="s">
        <v>24</v>
      </c>
      <c r="B40" s="6" t="s">
        <v>37</v>
      </c>
      <c r="C40" s="6" t="s">
        <v>39</v>
      </c>
      <c r="D40" s="6" t="s">
        <v>48</v>
      </c>
      <c r="E40" s="6" t="s">
        <v>38</v>
      </c>
      <c r="F40" s="6" t="s">
        <v>38</v>
      </c>
      <c r="G40" s="6">
        <v>2008</v>
      </c>
      <c r="H40" s="6" t="str">
        <f>CONCATENATE("84758347961")</f>
        <v>84758347961</v>
      </c>
      <c r="I40" s="6" t="s">
        <v>33</v>
      </c>
      <c r="J40" s="6" t="s">
        <v>28</v>
      </c>
      <c r="K40" s="6" t="str">
        <f>CONCATENATE("121")</f>
        <v>121</v>
      </c>
      <c r="L40" s="6" t="str">
        <f>CONCATENATE("4 4.1 2a")</f>
        <v>4 4.1 2a</v>
      </c>
      <c r="M40" s="6" t="str">
        <f>CONCATENATE("VSSSFN73E01E783T")</f>
        <v>VSSSFN73E01E783T</v>
      </c>
      <c r="N40" s="6" t="s">
        <v>105</v>
      </c>
      <c r="O40" s="6" t="s">
        <v>106</v>
      </c>
      <c r="P40" s="7">
        <v>42621</v>
      </c>
      <c r="Q40" s="6" t="s">
        <v>29</v>
      </c>
      <c r="R40" s="6" t="s">
        <v>30</v>
      </c>
      <c r="S40" s="6" t="s">
        <v>31</v>
      </c>
      <c r="T40" s="8">
        <v>36628.400000000001</v>
      </c>
      <c r="U40" s="8">
        <v>15794.17</v>
      </c>
      <c r="V40" s="8">
        <v>14585.43</v>
      </c>
      <c r="W40" s="8">
        <v>6248.8</v>
      </c>
    </row>
    <row r="41" spans="1:23" ht="24.75" x14ac:dyDescent="0.25">
      <c r="A41" s="6" t="s">
        <v>24</v>
      </c>
      <c r="B41" s="6" t="s">
        <v>25</v>
      </c>
      <c r="C41" s="6" t="s">
        <v>39</v>
      </c>
      <c r="D41" s="6" t="s">
        <v>48</v>
      </c>
      <c r="E41" s="6" t="s">
        <v>26</v>
      </c>
      <c r="F41" s="6" t="s">
        <v>64</v>
      </c>
      <c r="G41" s="6">
        <v>2014</v>
      </c>
      <c r="H41" s="6" t="str">
        <f>CONCATENATE("44715162549")</f>
        <v>44715162549</v>
      </c>
      <c r="I41" s="6" t="s">
        <v>33</v>
      </c>
      <c r="J41" s="6" t="s">
        <v>28</v>
      </c>
      <c r="K41" s="6" t="str">
        <f>CONCATENATE("214")</f>
        <v>214</v>
      </c>
      <c r="L41" s="6" t="str">
        <f>CONCATENATE("11 11.2 4b")</f>
        <v>11 11.2 4b</v>
      </c>
      <c r="M41" s="6" t="str">
        <f>CONCATENATE("01238480436")</f>
        <v>01238480436</v>
      </c>
      <c r="N41" s="6" t="s">
        <v>107</v>
      </c>
      <c r="O41" s="6" t="s">
        <v>47</v>
      </c>
      <c r="P41" s="7">
        <v>42621</v>
      </c>
      <c r="Q41" s="6" t="s">
        <v>29</v>
      </c>
      <c r="R41" s="6" t="s">
        <v>30</v>
      </c>
      <c r="S41" s="6" t="s">
        <v>31</v>
      </c>
      <c r="T41" s="8">
        <v>1203.3699999999999</v>
      </c>
      <c r="U41" s="6">
        <v>518.89</v>
      </c>
      <c r="V41" s="6">
        <v>479.18</v>
      </c>
      <c r="W41" s="6">
        <v>205.3</v>
      </c>
    </row>
    <row r="42" spans="1:23" ht="24.75" x14ac:dyDescent="0.25">
      <c r="A42" s="6" t="s">
        <v>24</v>
      </c>
      <c r="B42" s="6" t="s">
        <v>25</v>
      </c>
      <c r="C42" s="6" t="s">
        <v>39</v>
      </c>
      <c r="D42" s="6" t="s">
        <v>48</v>
      </c>
      <c r="E42" s="6" t="s">
        <v>26</v>
      </c>
      <c r="F42" s="6" t="s">
        <v>108</v>
      </c>
      <c r="G42" s="6">
        <v>2014</v>
      </c>
      <c r="H42" s="6" t="str">
        <f>CONCATENATE("44715476857")</f>
        <v>44715476857</v>
      </c>
      <c r="I42" s="6" t="s">
        <v>33</v>
      </c>
      <c r="J42" s="6" t="s">
        <v>28</v>
      </c>
      <c r="K42" s="6" t="str">
        <f>CONCATENATE("214")</f>
        <v>214</v>
      </c>
      <c r="L42" s="6" t="str">
        <f>CONCATENATE("11 11.2 4b")</f>
        <v>11 11.2 4b</v>
      </c>
      <c r="M42" s="6" t="str">
        <f>CONCATENATE("RMDMRA66M03L501N")</f>
        <v>RMDMRA66M03L501N</v>
      </c>
      <c r="N42" s="6" t="s">
        <v>109</v>
      </c>
      <c r="O42" s="6" t="s">
        <v>47</v>
      </c>
      <c r="P42" s="7">
        <v>42621</v>
      </c>
      <c r="Q42" s="6" t="s">
        <v>29</v>
      </c>
      <c r="R42" s="6" t="s">
        <v>30</v>
      </c>
      <c r="S42" s="6" t="s">
        <v>31</v>
      </c>
      <c r="T42" s="8">
        <v>19464.810000000001</v>
      </c>
      <c r="U42" s="8">
        <v>8393.23</v>
      </c>
      <c r="V42" s="8">
        <v>7750.89</v>
      </c>
      <c r="W42" s="8">
        <v>3320.69</v>
      </c>
    </row>
    <row r="43" spans="1:23" ht="24.75" x14ac:dyDescent="0.25">
      <c r="A43" s="6" t="s">
        <v>24</v>
      </c>
      <c r="B43" s="6" t="s">
        <v>25</v>
      </c>
      <c r="C43" s="6" t="s">
        <v>39</v>
      </c>
      <c r="D43" s="6" t="s">
        <v>48</v>
      </c>
      <c r="E43" s="6" t="s">
        <v>26</v>
      </c>
      <c r="F43" s="6" t="s">
        <v>110</v>
      </c>
      <c r="G43" s="6">
        <v>2014</v>
      </c>
      <c r="H43" s="6" t="str">
        <f>CONCATENATE("44715183453")</f>
        <v>44715183453</v>
      </c>
      <c r="I43" s="6" t="s">
        <v>33</v>
      </c>
      <c r="J43" s="6" t="s">
        <v>28</v>
      </c>
      <c r="K43" s="6" t="str">
        <f>CONCATENATE("214")</f>
        <v>214</v>
      </c>
      <c r="L43" s="6" t="str">
        <f>CONCATENATE("11 11.2 4b")</f>
        <v>11 11.2 4b</v>
      </c>
      <c r="M43" s="6" t="str">
        <f>CONCATENATE("CHSMCG56R23F205C")</f>
        <v>CHSMCG56R23F205C</v>
      </c>
      <c r="N43" s="6" t="s">
        <v>111</v>
      </c>
      <c r="O43" s="6" t="s">
        <v>47</v>
      </c>
      <c r="P43" s="7">
        <v>42621</v>
      </c>
      <c r="Q43" s="6" t="s">
        <v>29</v>
      </c>
      <c r="R43" s="6" t="s">
        <v>30</v>
      </c>
      <c r="S43" s="6" t="s">
        <v>31</v>
      </c>
      <c r="T43" s="6">
        <v>438.69</v>
      </c>
      <c r="U43" s="6">
        <v>189.16</v>
      </c>
      <c r="V43" s="6">
        <v>174.69</v>
      </c>
      <c r="W43" s="6">
        <v>74.84</v>
      </c>
    </row>
    <row r="44" spans="1:23" ht="24.75" x14ac:dyDescent="0.25">
      <c r="A44" s="6" t="s">
        <v>24</v>
      </c>
      <c r="B44" s="6" t="s">
        <v>25</v>
      </c>
      <c r="C44" s="6" t="s">
        <v>39</v>
      </c>
      <c r="D44" s="6" t="s">
        <v>40</v>
      </c>
      <c r="E44" s="6" t="s">
        <v>26</v>
      </c>
      <c r="F44" s="6" t="s">
        <v>41</v>
      </c>
      <c r="G44" s="6">
        <v>2015</v>
      </c>
      <c r="H44" s="6" t="str">
        <f>CONCATENATE("54745057288")</f>
        <v>54745057288</v>
      </c>
      <c r="I44" s="6" t="s">
        <v>27</v>
      </c>
      <c r="J44" s="6" t="s">
        <v>28</v>
      </c>
      <c r="K44" s="6" t="str">
        <f>CONCATENATE("211")</f>
        <v>211</v>
      </c>
      <c r="L44" s="6" t="str">
        <f>CONCATENATE("13 13.1 4a")</f>
        <v>13 13.1 4a</v>
      </c>
      <c r="M44" s="6" t="str">
        <f>CONCATENATE("BSSFNC66S02G044L")</f>
        <v>BSSFNC66S02G044L</v>
      </c>
      <c r="N44" s="6" t="s">
        <v>112</v>
      </c>
      <c r="O44" s="6" t="s">
        <v>43</v>
      </c>
      <c r="P44" s="7">
        <v>42621</v>
      </c>
      <c r="Q44" s="6" t="s">
        <v>29</v>
      </c>
      <c r="R44" s="6" t="s">
        <v>30</v>
      </c>
      <c r="S44" s="6" t="s">
        <v>31</v>
      </c>
      <c r="T44" s="8">
        <v>4446.53</v>
      </c>
      <c r="U44" s="8">
        <v>1917.34</v>
      </c>
      <c r="V44" s="8">
        <v>1770.61</v>
      </c>
      <c r="W44" s="6">
        <v>758.58</v>
      </c>
    </row>
    <row r="45" spans="1:23" ht="24.75" x14ac:dyDescent="0.25">
      <c r="A45" s="6" t="s">
        <v>24</v>
      </c>
      <c r="B45" s="6" t="s">
        <v>25</v>
      </c>
      <c r="C45" s="6" t="s">
        <v>39</v>
      </c>
      <c r="D45" s="6" t="s">
        <v>40</v>
      </c>
      <c r="E45" s="6" t="s">
        <v>26</v>
      </c>
      <c r="F45" s="6" t="s">
        <v>41</v>
      </c>
      <c r="G45" s="6">
        <v>2015</v>
      </c>
      <c r="H45" s="6" t="str">
        <f>CONCATENATE("54745243623")</f>
        <v>54745243623</v>
      </c>
      <c r="I45" s="6" t="s">
        <v>27</v>
      </c>
      <c r="J45" s="6" t="s">
        <v>28</v>
      </c>
      <c r="K45" s="6" t="str">
        <f>CONCATENATE("211")</f>
        <v>211</v>
      </c>
      <c r="L45" s="6" t="str">
        <f>CONCATENATE("13 13.1 4a")</f>
        <v>13 13.1 4a</v>
      </c>
      <c r="M45" s="6" t="str">
        <f>CONCATENATE("BLDDNC37D11D451E")</f>
        <v>BLDDNC37D11D451E</v>
      </c>
      <c r="N45" s="6" t="s">
        <v>113</v>
      </c>
      <c r="O45" s="6" t="s">
        <v>43</v>
      </c>
      <c r="P45" s="7">
        <v>42621</v>
      </c>
      <c r="Q45" s="6" t="s">
        <v>29</v>
      </c>
      <c r="R45" s="6" t="s">
        <v>30</v>
      </c>
      <c r="S45" s="6" t="s">
        <v>31</v>
      </c>
      <c r="T45" s="8">
        <v>4473.49</v>
      </c>
      <c r="U45" s="8">
        <v>1928.97</v>
      </c>
      <c r="V45" s="8">
        <v>1781.34</v>
      </c>
      <c r="W45" s="6">
        <v>763.18</v>
      </c>
    </row>
    <row r="46" spans="1:23" x14ac:dyDescent="0.25">
      <c r="T46" s="9"/>
    </row>
  </sheetData>
  <mergeCells count="2">
    <mergeCell ref="A1:W1"/>
    <mergeCell ref="A2:W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2016-09-26T10:42:51Z</dcterms:created>
  <dcterms:modified xsi:type="dcterms:W3CDTF">2016-09-26T10:43:32Z</dcterms:modified>
</cp:coreProperties>
</file>